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45" windowWidth="9705" windowHeight="8940" activeTab="0"/>
  </bookViews>
  <sheets>
    <sheet name="forside" sheetId="1" r:id="rId1"/>
    <sheet name="skema" sheetId="2" r:id="rId2"/>
    <sheet name="Ark2" sheetId="3" r:id="rId3"/>
    <sheet name="Ark3" sheetId="4" r:id="rId4"/>
  </sheets>
  <definedNames>
    <definedName name="TABLE" localSheetId="3">'Ark3'!#REF!</definedName>
    <definedName name="TABLE_2" localSheetId="3">'Ark3'!#REF!</definedName>
    <definedName name="TABLE_3" localSheetId="3">'Ark3'!#REF!</definedName>
  </definedNames>
  <calcPr fullCalcOnLoad="1"/>
</workbook>
</file>

<file path=xl/comments2.xml><?xml version="1.0" encoding="utf-8"?>
<comments xmlns="http://schemas.openxmlformats.org/spreadsheetml/2006/main">
  <authors>
    <author>Peter Ollendorff</author>
  </authors>
  <commentList>
    <comment ref="I45" authorId="0">
      <text>
        <r>
          <rPr>
            <sz val="8"/>
            <rFont val="Tahoma"/>
            <family val="0"/>
          </rPr>
          <t>Indtast det årlige grundbeløb           (31.3.2000 niveau)</t>
        </r>
      </text>
    </comment>
    <comment ref="B46" authorId="0">
      <text>
        <r>
          <rPr>
            <sz val="8"/>
            <rFont val="Tahoma"/>
            <family val="0"/>
          </rPr>
          <t>Til børnehaveklasseledere, der varetager særlig støtte til to-sprogede elever, undervisning af børnehaveklasseelever i dansk som andetsprog og støtte til fremme af sproglig udvikling for to-sprogede børn, som endnu ikke er påbegyndt skolegangen.</t>
        </r>
      </text>
    </comment>
    <comment ref="I46" authorId="0">
      <text>
        <r>
          <rPr>
            <sz val="8"/>
            <rFont val="Tahoma"/>
            <family val="0"/>
          </rPr>
          <t>Skriv antallet af timer i det gule felt.</t>
        </r>
      </text>
    </comment>
    <comment ref="H40" authorId="0">
      <text>
        <r>
          <rPr>
            <sz val="8"/>
            <rFont val="Tahoma"/>
            <family val="0"/>
          </rPr>
          <t>Skriv 1, hvis du er berettiget til tillægget.</t>
        </r>
      </text>
    </comment>
    <comment ref="B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Tjenestemænd og medlemmer af 93-gruppen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OK-ansatte, dog ikke 93-gruppen.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Tjenestemænd og medlemmer af 93-gruppen.</t>
        </r>
        <r>
          <rPr>
            <sz val="8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8"/>
            <rFont val="Tahoma"/>
            <family val="0"/>
          </rPr>
          <t>Klik på fanebladet "Ark 3" for at se løntrinene.
Skriv forskellen på de 2 løntrin i det gule felt.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2" authorId="0">
      <text>
        <r>
          <rPr>
            <b/>
            <sz val="8"/>
            <rFont val="Tahoma"/>
            <family val="0"/>
          </rPr>
          <t>Skriv 1, hvis du er berettiget til tillægget.</t>
        </r>
      </text>
    </comment>
    <comment ref="H39" authorId="0">
      <text>
        <r>
          <rPr>
            <b/>
            <sz val="8"/>
            <rFont val="Tahoma"/>
            <family val="0"/>
          </rPr>
          <t>Skriv 1, hvis du er berettiget til tillægget.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Skriv det samlede 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0"/>
          </rPr>
          <t>antal undervisningstimer på årsbasis opgjort i din opgaveoversigt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I25" authorId="0">
      <text>
        <r>
          <rPr>
            <sz val="8"/>
            <rFont val="Tahoma"/>
            <family val="0"/>
          </rPr>
          <t>antal undervisningstimer på årsbasis opgjort i din opgaveoversigt</t>
        </r>
      </text>
    </comment>
    <comment ref="H33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4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5" authorId="0">
      <text>
        <r>
          <rPr>
            <sz val="9"/>
            <rFont val="Tahoma"/>
            <family val="2"/>
          </rPr>
          <t>Skriv 1, hvis du er berettiget til tillægget.</t>
        </r>
      </text>
    </comment>
    <comment ref="H36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H37" authorId="0">
      <text>
        <r>
          <rPr>
            <b/>
            <sz val="9"/>
            <rFont val="Tahoma"/>
            <family val="2"/>
          </rPr>
          <t>Skriv 1, hvis du er berettiget til tillægget.</t>
        </r>
      </text>
    </comment>
    <comment ref="B47" authorId="0">
      <text>
        <r>
          <rPr>
            <sz val="8"/>
            <rFont val="Tahoma"/>
            <family val="0"/>
          </rPr>
          <t xml:space="preserve">§5 stk. 11
Til den, der varetager
1. tale-/høreundervisning af børn,
2. bistand til småbørn med sprog- og talevanskeligheder, og
3. undervisning i dansk som andetsprog i henhold til Undervisningsministeriets bekendtgørelse af 20. januar 2006,
ydes et ikke-pensionsgivende tillæg på 25,84 kr. pr. time.
Ydes der tillæg efter denne bestemmelse, kan der ikke ydes tillæg efter stk. 10 for de samme timer.
Lønseddeltekst: tale/høre tillæg.
</t>
        </r>
      </text>
    </comment>
    <comment ref="B45" authorId="0">
      <text>
        <r>
          <rPr>
            <sz val="8"/>
            <rFont val="Tahoma"/>
            <family val="2"/>
          </rPr>
          <t>Til lærere, der underviste i spec. klasser i skoleåret 2014/15 og stadig gør det i 2015/16</t>
        </r>
      </text>
    </comment>
    <comment ref="H44" authorId="0">
      <text>
        <r>
          <rPr>
            <b/>
            <sz val="8"/>
            <rFont val="Tahoma"/>
            <family val="0"/>
          </rPr>
          <t>Skriv 1 i feltet, hvis du er berettiget til tillægget.</t>
        </r>
      </text>
    </comment>
  </commentList>
</comments>
</file>

<file path=xl/sharedStrings.xml><?xml version="1.0" encoding="utf-8"?>
<sst xmlns="http://schemas.openxmlformats.org/spreadsheetml/2006/main" count="143" uniqueCount="122">
  <si>
    <t>Kun gule felter må udfyldes!</t>
  </si>
  <si>
    <t>Pr. år</t>
  </si>
  <si>
    <t>Pr. måned</t>
  </si>
  <si>
    <t>Pris pr. enhed</t>
  </si>
  <si>
    <t>Gruppeliv</t>
  </si>
  <si>
    <t>Der tages forbehold for fejl i regnearket. Kontakt din tillidsmand eller kredsen, hvis du finder uoverensstemmelse med din lønseddel</t>
  </si>
  <si>
    <t>Dato:</t>
  </si>
  <si>
    <t>Reguleringsfaktor:</t>
  </si>
  <si>
    <t>Løntrin</t>
  </si>
  <si>
    <t>Løn i alt, bortset fra evt. overtid.</t>
  </si>
  <si>
    <t>Aftalte tillæg</t>
  </si>
  <si>
    <t>Noter din beskæftigelsesgrad i pct: (f.eks.: 100)</t>
  </si>
  <si>
    <t>* Diplomuddannelse:  Klik på fanebladet "Ark3" i bunden af skærmen og beregn forskellen på de 2 løntrin. Skriv resultatet i det gule felt</t>
  </si>
  <si>
    <t>Souschef / stedfortræder</t>
  </si>
  <si>
    <t>Vær opmærksom på, at regnearkene er for medlemmer af Danmarks Lærerforening, der er ansat på lærer/børnehaveklasseledervilkår i Nordfyns Kommune</t>
  </si>
  <si>
    <t>Når du er klar: tryk på pilen</t>
  </si>
  <si>
    <t>Klik på fanebladet "skema" for at vende tilbage til lønberegningsskemaet</t>
  </si>
  <si>
    <t xml:space="preserve">Gruppe 0 </t>
  </si>
  <si>
    <r>
      <t>Lærer,</t>
    </r>
    <r>
      <rPr>
        <sz val="10"/>
        <rFont val="Arial"/>
        <family val="2"/>
      </rPr>
      <t xml:space="preserve"> grundlønsforløb. </t>
    </r>
  </si>
  <si>
    <r>
      <t xml:space="preserve">Lærer, </t>
    </r>
    <r>
      <rPr>
        <sz val="10"/>
        <rFont val="Arial"/>
        <family val="2"/>
      </rPr>
      <t xml:space="preserve">personlig ordning. </t>
    </r>
  </si>
  <si>
    <r>
      <t>Børnehkl.</t>
    </r>
    <r>
      <rPr>
        <sz val="10"/>
        <rFont val="Arial"/>
        <family val="2"/>
      </rPr>
      <t xml:space="preserve"> grundlønsforløb.</t>
    </r>
  </si>
  <si>
    <r>
      <t>Børnehkl.</t>
    </r>
    <r>
      <rPr>
        <sz val="10"/>
        <rFont val="Arial"/>
        <family val="2"/>
      </rPr>
      <t xml:space="preserve"> personlig ordning. </t>
    </r>
  </si>
  <si>
    <t>Nordfynstillæg</t>
  </si>
  <si>
    <t>Regulering</t>
  </si>
  <si>
    <t>Tillæg, bhkl.</t>
  </si>
  <si>
    <t>Tillæg, lærere:</t>
  </si>
  <si>
    <t>Se note i det gule felt</t>
  </si>
  <si>
    <t>PD, grundlønsforløb:</t>
  </si>
  <si>
    <t>PD personlig ordning</t>
  </si>
  <si>
    <t>PD, personlig ordning, Hvis "ja" skriv 1 i det gule felt</t>
  </si>
  <si>
    <t>Nordfyns Lærerkreds</t>
  </si>
  <si>
    <t>Vestergade 3</t>
  </si>
  <si>
    <t>Særslev</t>
  </si>
  <si>
    <t>5471 Søndersø</t>
  </si>
  <si>
    <t>mail:</t>
  </si>
  <si>
    <t>Tryk her</t>
  </si>
  <si>
    <t>Tlf.:</t>
  </si>
  <si>
    <t>64 84 19 05</t>
  </si>
  <si>
    <t>Skriv 1 hvis tillæg skal udbetales</t>
  </si>
  <si>
    <t>Løn uden gruppeliv:</t>
  </si>
  <si>
    <t>Undervisning på 2 afdelinger, samme skole</t>
  </si>
  <si>
    <t>Undervisning på 3 afdelinger, samme skole</t>
  </si>
  <si>
    <t>TR funktion</t>
  </si>
  <si>
    <t>TR</t>
  </si>
  <si>
    <t>AMR, op til 25 ansatte</t>
  </si>
  <si>
    <t>AMR, op til 50 ansatte</t>
  </si>
  <si>
    <t>AMR, over 50 ansatte</t>
  </si>
  <si>
    <t>AMR for op til 25 ansatte</t>
  </si>
  <si>
    <t>AMR for op til 50 ansatte</t>
  </si>
  <si>
    <t>AMR for over 50 ansatte</t>
  </si>
  <si>
    <t>Tjek din lønseddel gældende fra</t>
  </si>
  <si>
    <t>PD grundlønsforløb</t>
  </si>
  <si>
    <t>1 løntrin</t>
  </si>
  <si>
    <t>Undervisningsvejleder</t>
  </si>
  <si>
    <t>Årsløn KTO-området</t>
  </si>
  <si>
    <t>26 13 48 51</t>
  </si>
  <si>
    <t>Pendlertillæg, undervisning på 2 selvstændige skoler</t>
  </si>
  <si>
    <t>Medlem af skolebestyrelsen</t>
  </si>
  <si>
    <t>Skolebestyrelse</t>
  </si>
  <si>
    <t>UV-tillæg bhkl. grundløn</t>
  </si>
  <si>
    <t>UV-tillæg bhkl. pers. ordning</t>
  </si>
  <si>
    <t>Regulerings-faktor:</t>
  </si>
  <si>
    <t>UV-tillæg over 751 timer, lærere grundlønsforløb/pers. ordning</t>
  </si>
  <si>
    <t>UV-tillæg over 835 timer bhkl. grundlønsforløb/personlig ordning</t>
  </si>
  <si>
    <t>Over 835 timer:</t>
  </si>
  <si>
    <t>Timer over 760</t>
  </si>
  <si>
    <t>UV-tillæg for 760 timer/år</t>
  </si>
  <si>
    <t>UV-tillæg over 760 timer/år</t>
  </si>
  <si>
    <t>Tillæg til bhkl. i forbindelse med uv. af to-sprogede elever §5.9</t>
  </si>
  <si>
    <t>Tillæg for tale/høreundervisning, bistand til småbørn med sprog- og talevanskeligheder og uv. i dansk som andetsprog §5.11</t>
  </si>
  <si>
    <t>Du skal kende din beskæftigelsesgrad, antal årlige undervisningstimer og din lønanciennitet.</t>
  </si>
  <si>
    <t>§5.9 Tillæg til bhkl. i forbindelse med uv. af to-sprogede elever</t>
  </si>
  <si>
    <t>§5.11 Tale- høre-uv. og sprog vansk samt dansk som 2. sprog</t>
  </si>
  <si>
    <t>§5.10 Spec.uv. enkeltinteg. elever &gt; 9 timer/uge, Indeholdt i NF-tillæg</t>
  </si>
  <si>
    <t>§5.8 Bhkl. spec. uv. i klasser</t>
  </si>
  <si>
    <t>§5.8 Spec.uv. i klasser</t>
  </si>
  <si>
    <t>§5.14 Pendlertillæg</t>
  </si>
  <si>
    <t>§5.14 Undervisning på 2 afdelinger</t>
  </si>
  <si>
    <t>§5.14 Undervisning på 3 afdelinger</t>
  </si>
  <si>
    <t>§5.7 Stedfortræder</t>
  </si>
  <si>
    <t>Du skal være uddannet og kende beskæftigelsesgrad, undervisningstimetal og erfaring.</t>
  </si>
  <si>
    <t xml:space="preserve">Hvad er din erfaring? </t>
  </si>
  <si>
    <t>Noteres i det gule felt ud for "Erfaring".</t>
  </si>
  <si>
    <t>Erfaring:</t>
  </si>
  <si>
    <t>Komp. for udfasning, forskel på de to satser</t>
  </si>
  <si>
    <t>Erfaring 0-4 år: skriv 1</t>
  </si>
  <si>
    <t>Erfaring 4-8 år: skriv 2</t>
  </si>
  <si>
    <t>Erfaring 8-12 år: skriv 3</t>
  </si>
  <si>
    <t>Erfaring over 12 år: skriv 4</t>
  </si>
  <si>
    <t>Grundløn og undervisningstillæg</t>
  </si>
  <si>
    <t>Hvis ja i "skema" felt G6 fratrækkes forslellen mellem de to tillæg for udfasning af 60-årsreglen</t>
  </si>
  <si>
    <t>Personligt tillæg for uv. i spec. klasse</t>
  </si>
  <si>
    <t>UV-tillæg lærer, grundløn OK15</t>
  </si>
  <si>
    <t>UV-tillæg lærer, pers. ordning OK15</t>
  </si>
  <si>
    <t>UV-tillæg 750&lt;760 timer, lærere Lokalaft.</t>
  </si>
  <si>
    <t>Samlet undervisertillæg, lærere grundløn</t>
  </si>
  <si>
    <t>Samlet undervisertillæg, lærere pers. ordning</t>
  </si>
  <si>
    <t>UV-tillæg for 835 timer/år</t>
  </si>
  <si>
    <t>UV-tillæg over 835 timer/år</t>
  </si>
  <si>
    <t>Komp. for udfasning af 60-årsregl, grundløn, bortfald 1.4.2016</t>
  </si>
  <si>
    <t>Komp. for udfasning af 60-års regel pers. ord. bortfald 1.4.2016</t>
  </si>
  <si>
    <t>Heldagsskoletillæg</t>
  </si>
  <si>
    <t>Heldagsskoletillæg, Hvis "ja" skriv 1 i det gule felt</t>
  </si>
  <si>
    <t>Konsulent</t>
  </si>
  <si>
    <t>Skolekonsulenter</t>
  </si>
  <si>
    <t>Skolepsykologer cand pæd psyk</t>
  </si>
  <si>
    <t>Tillæg efter 4 år</t>
  </si>
  <si>
    <t>Autorisationstillæg, psykolog</t>
  </si>
  <si>
    <t>Psykolog</t>
  </si>
  <si>
    <t>Autorisationstillæg</t>
  </si>
  <si>
    <t>Hvis ja: skriv "1"</t>
  </si>
  <si>
    <t>Nordfynstillæg fra 1.8.2019</t>
  </si>
  <si>
    <t>autorisation</t>
  </si>
  <si>
    <t>&lt; 4 år</t>
  </si>
  <si>
    <t>&gt; 4 år</t>
  </si>
  <si>
    <t>trin 43</t>
  </si>
  <si>
    <t>kvartal</t>
  </si>
  <si>
    <t>1 måned</t>
  </si>
  <si>
    <t>1 kvartal</t>
  </si>
  <si>
    <t>Satser 1.10 2020</t>
  </si>
  <si>
    <t>Lønberegningsskema for Nordfyns Kommune gældende fra                 1. oktober 2020</t>
  </si>
  <si>
    <t>1. oktober 2020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</si>
</sst>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000"/>
    <numFmt numFmtId="173" formatCode="#,##0.000000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mmm/yyyy"/>
    <numFmt numFmtId="180" formatCode="0.0000"/>
    <numFmt numFmtId="181" formatCode="0.000"/>
    <numFmt numFmtId="182" formatCode="#,##0.0000000"/>
    <numFmt numFmtId="183" formatCode="#,##0.00_ ;\-#,##0.00\ "/>
    <numFmt numFmtId="184" formatCode="&quot;Ja&quot;;&quot;Ja&quot;;&quot;Nej&quot;"/>
    <numFmt numFmtId="185" formatCode="&quot;Sandt&quot;;&quot;Sandt&quot;;&quot;Falsk&quot;"/>
    <numFmt numFmtId="186" formatCode="&quot;Til&quot;;&quot;Til&quot;;&quot;Fra&quot;"/>
    <numFmt numFmtId="187" formatCode="[$€-2]\ #.##000_);[Red]\([$€-2]\ #.##000\)"/>
    <numFmt numFmtId="188" formatCode="_ * #,##0.0_ ;_ * \-#,##0.0_ ;_ * &quot;-&quot;??_ ;_ @_ "/>
    <numFmt numFmtId="189" formatCode="_ * #,##0_ ;_ * \-#,##0_ ;_ * &quot;-&quot;??_ ;_ @_ "/>
  </numFmts>
  <fonts count="7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8"/>
      <color indexed="9"/>
      <name val="Arial"/>
      <family val="2"/>
    </font>
    <font>
      <sz val="28"/>
      <name val="Wingdings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16"/>
      <color indexed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7.5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8"/>
      <name val="Arial"/>
      <family val="0"/>
    </font>
    <font>
      <sz val="26"/>
      <name val="Wingdings"/>
      <family val="0"/>
    </font>
    <font>
      <sz val="7.5"/>
      <name val="Arial"/>
      <family val="2"/>
    </font>
    <font>
      <sz val="12"/>
      <name val="TimesNewRomanPS"/>
      <family val="0"/>
    </font>
    <font>
      <b/>
      <sz val="9"/>
      <color indexed="12"/>
      <name val="Verdana"/>
      <family val="2"/>
    </font>
    <font>
      <b/>
      <sz val="8"/>
      <name val="Tahoma"/>
      <family val="0"/>
    </font>
    <font>
      <sz val="9"/>
      <name val="Arial"/>
      <family val="2"/>
    </font>
    <font>
      <u val="single"/>
      <sz val="12"/>
      <color indexed="12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7" fillId="21" borderId="2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35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/>
    </xf>
    <xf numFmtId="4" fontId="0" fillId="36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4" fontId="0" fillId="0" borderId="11" xfId="0" applyNumberFormat="1" applyFont="1" applyBorder="1" applyAlignment="1">
      <alignment horizontal="right"/>
    </xf>
    <xf numFmtId="173" fontId="0" fillId="0" borderId="0" xfId="0" applyNumberFormat="1" applyAlignment="1">
      <alignment horizont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2" fillId="0" borderId="0" xfId="42" applyAlignment="1" applyProtection="1">
      <alignment/>
      <protection/>
    </xf>
    <xf numFmtId="3" fontId="0" fillId="36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8" fillId="36" borderId="0" xfId="0" applyFont="1" applyFill="1" applyBorder="1" applyAlignment="1">
      <alignment vertical="top"/>
    </xf>
    <xf numFmtId="0" fontId="8" fillId="36" borderId="0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22" xfId="0" applyBorder="1" applyAlignment="1">
      <alignment/>
    </xf>
    <xf numFmtId="0" fontId="0" fillId="37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9" fontId="2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4" fontId="1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37" fontId="0" fillId="0" borderId="12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0" fontId="0" fillId="0" borderId="0" xfId="0" applyAlignment="1">
      <alignment readingOrder="1"/>
    </xf>
    <xf numFmtId="0" fontId="10" fillId="33" borderId="10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9" borderId="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38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 quotePrefix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11" fillId="0" borderId="3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4" fontId="11" fillId="41" borderId="13" xfId="0" applyNumberFormat="1" applyFont="1" applyFill="1" applyBorder="1" applyAlignment="1">
      <alignment/>
    </xf>
    <xf numFmtId="174" fontId="11" fillId="41" borderId="14" xfId="0" applyNumberFormat="1" applyFont="1" applyFill="1" applyBorder="1" applyAlignment="1">
      <alignment/>
    </xf>
    <xf numFmtId="174" fontId="11" fillId="40" borderId="10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0" xfId="0" applyFill="1" applyBorder="1" applyAlignment="1">
      <alignment/>
    </xf>
    <xf numFmtId="0" fontId="4" fillId="16" borderId="0" xfId="0" applyFont="1" applyFill="1" applyBorder="1" applyAlignment="1">
      <alignment horizontal="right"/>
    </xf>
    <xf numFmtId="0" fontId="27" fillId="16" borderId="0" xfId="42" applyFont="1" applyFill="1" applyBorder="1" applyAlignment="1" applyProtection="1">
      <alignment/>
      <protection/>
    </xf>
    <xf numFmtId="0" fontId="0" fillId="16" borderId="19" xfId="0" applyFill="1" applyBorder="1" applyAlignment="1">
      <alignment/>
    </xf>
    <xf numFmtId="0" fontId="2" fillId="16" borderId="0" xfId="42" applyFill="1" applyBorder="1" applyAlignment="1" applyProtection="1">
      <alignment/>
      <protection/>
    </xf>
    <xf numFmtId="0" fontId="4" fillId="16" borderId="0" xfId="0" applyFont="1" applyFill="1" applyBorder="1" applyAlignment="1">
      <alignment horizontal="left"/>
    </xf>
    <xf numFmtId="0" fontId="0" fillId="16" borderId="31" xfId="0" applyFill="1" applyBorder="1" applyAlignment="1">
      <alignment/>
    </xf>
    <xf numFmtId="0" fontId="0" fillId="16" borderId="23" xfId="0" applyFill="1" applyBorder="1" applyAlignment="1">
      <alignment/>
    </xf>
    <xf numFmtId="0" fontId="21" fillId="16" borderId="23" xfId="0" applyFont="1" applyFill="1" applyBorder="1" applyAlignment="1">
      <alignment/>
    </xf>
    <xf numFmtId="0" fontId="0" fillId="16" borderId="32" xfId="0" applyFill="1" applyBorder="1" applyAlignment="1">
      <alignment/>
    </xf>
    <xf numFmtId="0" fontId="10" fillId="0" borderId="3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" fontId="0" fillId="0" borderId="0" xfId="0" applyNumberFormat="1" applyFont="1" applyAlignment="1" quotePrefix="1">
      <alignment/>
    </xf>
    <xf numFmtId="171" fontId="4" fillId="0" borderId="0" xfId="39" applyFont="1" applyAlignment="1">
      <alignment/>
    </xf>
    <xf numFmtId="3" fontId="4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9" fontId="23" fillId="0" borderId="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2" fontId="0" fillId="13" borderId="11" xfId="0" applyNumberFormat="1" applyFont="1" applyFill="1" applyBorder="1" applyAlignment="1">
      <alignment/>
    </xf>
    <xf numFmtId="4" fontId="0" fillId="13" borderId="16" xfId="0" applyNumberFormat="1" applyFont="1" applyFill="1" applyBorder="1" applyAlignment="1">
      <alignment vertical="center"/>
    </xf>
    <xf numFmtId="2" fontId="0" fillId="13" borderId="16" xfId="0" applyNumberFormat="1" applyFont="1" applyFill="1" applyBorder="1" applyAlignment="1">
      <alignment vertical="center"/>
    </xf>
    <xf numFmtId="0" fontId="0" fillId="13" borderId="12" xfId="0" applyFont="1" applyFill="1" applyBorder="1" applyAlignment="1">
      <alignment horizontal="center"/>
    </xf>
    <xf numFmtId="0" fontId="26" fillId="13" borderId="29" xfId="0" applyFont="1" applyFill="1" applyBorder="1" applyAlignment="1">
      <alignment horizontal="center" vertical="center" textRotation="90" wrapText="1"/>
    </xf>
    <xf numFmtId="0" fontId="0" fillId="13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1" fontId="0" fillId="0" borderId="0" xfId="39" applyFont="1" applyBorder="1" applyAlignment="1">
      <alignment/>
    </xf>
    <xf numFmtId="0" fontId="72" fillId="0" borderId="0" xfId="0" applyFont="1" applyBorder="1" applyAlignment="1">
      <alignment horizontal="center"/>
    </xf>
    <xf numFmtId="0" fontId="3" fillId="42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18" fillId="0" borderId="37" xfId="0" applyFont="1" applyBorder="1" applyAlignment="1">
      <alignment wrapText="1"/>
    </xf>
    <xf numFmtId="39" fontId="23" fillId="0" borderId="37" xfId="0" applyNumberFormat="1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39" fontId="23" fillId="0" borderId="39" xfId="0" applyNumberFormat="1" applyFont="1" applyBorder="1" applyAlignment="1" applyProtection="1">
      <alignment/>
      <protection/>
    </xf>
    <xf numFmtId="0" fontId="3" fillId="42" borderId="34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39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wrapText="1"/>
    </xf>
    <xf numFmtId="4" fontId="0" fillId="0" borderId="36" xfId="0" applyNumberFormat="1" applyFont="1" applyBorder="1" applyAlignment="1">
      <alignment horizontal="right" wrapText="1"/>
    </xf>
    <xf numFmtId="4" fontId="10" fillId="0" borderId="36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4" fontId="0" fillId="0" borderId="40" xfId="0" applyNumberFormat="1" applyFont="1" applyBorder="1" applyAlignment="1">
      <alignment horizontal="right" wrapText="1"/>
    </xf>
    <xf numFmtId="4" fontId="0" fillId="0" borderId="38" xfId="0" applyNumberFormat="1" applyFont="1" applyBorder="1" applyAlignment="1">
      <alignment horizontal="right" wrapText="1"/>
    </xf>
    <xf numFmtId="4" fontId="0" fillId="0" borderId="39" xfId="0" applyNumberFormat="1" applyFont="1" applyBorder="1" applyAlignment="1">
      <alignment horizontal="right" wrapText="1"/>
    </xf>
    <xf numFmtId="3" fontId="0" fillId="1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1" fontId="0" fillId="0" borderId="0" xfId="39" applyFont="1" applyAlignment="1">
      <alignment/>
    </xf>
    <xf numFmtId="4" fontId="16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14" fontId="0" fillId="8" borderId="10" xfId="0" applyNumberFormat="1" applyFill="1" applyBorder="1" applyAlignment="1">
      <alignment horizontal="center"/>
    </xf>
    <xf numFmtId="173" fontId="0" fillId="0" borderId="0" xfId="0" applyNumberForma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73" fillId="43" borderId="11" xfId="0" applyFont="1" applyFill="1" applyBorder="1" applyAlignment="1">
      <alignment horizontal="center"/>
    </xf>
    <xf numFmtId="0" fontId="73" fillId="43" borderId="16" xfId="0" applyFont="1" applyFill="1" applyBorder="1" applyAlignment="1">
      <alignment horizontal="center"/>
    </xf>
    <xf numFmtId="0" fontId="73" fillId="43" borderId="14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174" fontId="0" fillId="0" borderId="24" xfId="0" applyNumberFormat="1" applyFont="1" applyBorder="1" applyAlignment="1">
      <alignment/>
    </xf>
    <xf numFmtId="0" fontId="10" fillId="40" borderId="13" xfId="0" applyFont="1" applyFill="1" applyBorder="1" applyAlignment="1">
      <alignment horizontal="center"/>
    </xf>
    <xf numFmtId="174" fontId="11" fillId="40" borderId="14" xfId="0" applyNumberFormat="1" applyFont="1" applyFill="1" applyBorder="1" applyAlignment="1">
      <alignment/>
    </xf>
    <xf numFmtId="0" fontId="10" fillId="40" borderId="17" xfId="0" applyFont="1" applyFill="1" applyBorder="1" applyAlignment="1">
      <alignment horizontal="center"/>
    </xf>
    <xf numFmtId="17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174" fontId="11" fillId="0" borderId="25" xfId="0" applyNumberFormat="1" applyFont="1" applyFill="1" applyBorder="1" applyAlignment="1">
      <alignment/>
    </xf>
    <xf numFmtId="174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33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/>
    </xf>
    <xf numFmtId="171" fontId="0" fillId="0" borderId="34" xfId="39" applyFont="1" applyBorder="1" applyAlignment="1">
      <alignment/>
    </xf>
    <xf numFmtId="4" fontId="0" fillId="0" borderId="38" xfId="0" applyNumberFormat="1" applyFont="1" applyBorder="1" applyAlignment="1">
      <alignment/>
    </xf>
    <xf numFmtId="171" fontId="0" fillId="0" borderId="38" xfId="39" applyFont="1" applyBorder="1" applyAlignment="1">
      <alignment/>
    </xf>
    <xf numFmtId="3" fontId="11" fillId="41" borderId="10" xfId="0" applyNumberFormat="1" applyFont="1" applyFill="1" applyBorder="1" applyAlignment="1">
      <alignment/>
    </xf>
    <xf numFmtId="39" fontId="0" fillId="0" borderId="39" xfId="0" applyNumberFormat="1" applyFont="1" applyBorder="1" applyAlignment="1" applyProtection="1">
      <alignment/>
      <protection/>
    </xf>
    <xf numFmtId="39" fontId="10" fillId="0" borderId="34" xfId="0" applyNumberFormat="1" applyFont="1" applyBorder="1" applyAlignment="1" applyProtection="1">
      <alignment/>
      <protection/>
    </xf>
    <xf numFmtId="4" fontId="10" fillId="0" borderId="33" xfId="0" applyNumberFormat="1" applyFont="1" applyBorder="1" applyAlignment="1">
      <alignment vertical="center" wrapText="1"/>
    </xf>
    <xf numFmtId="37" fontId="0" fillId="0" borderId="34" xfId="0" applyNumberFormat="1" applyFont="1" applyFill="1" applyBorder="1" applyAlignment="1" applyProtection="1">
      <alignment/>
      <protection/>
    </xf>
    <xf numFmtId="39" fontId="0" fillId="0" borderId="34" xfId="0" applyNumberFormat="1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 wrapText="1"/>
    </xf>
    <xf numFmtId="4" fontId="0" fillId="0" borderId="40" xfId="0" applyNumberFormat="1" applyFont="1" applyBorder="1" applyAlignment="1">
      <alignment horizontal="left"/>
    </xf>
    <xf numFmtId="0" fontId="0" fillId="0" borderId="38" xfId="0" applyNumberFormat="1" applyFont="1" applyFill="1" applyBorder="1" applyAlignment="1" applyProtection="1">
      <alignment/>
      <protection/>
    </xf>
    <xf numFmtId="39" fontId="0" fillId="0" borderId="38" xfId="0" applyNumberFormat="1" applyFont="1" applyFill="1" applyBorder="1" applyAlignment="1" applyProtection="1">
      <alignment/>
      <protection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Border="1" applyAlignment="1">
      <alignment wrapText="1"/>
    </xf>
    <xf numFmtId="4" fontId="0" fillId="0" borderId="0" xfId="0" applyNumberFormat="1" applyAlignment="1">
      <alignment horizontal="right"/>
    </xf>
    <xf numFmtId="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0" fillId="0" borderId="0" xfId="0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center"/>
    </xf>
    <xf numFmtId="4" fontId="0" fillId="0" borderId="0" xfId="0" applyNumberFormat="1" applyFont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189" fontId="0" fillId="0" borderId="0" xfId="39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7" fontId="32" fillId="0" borderId="12" xfId="0" applyNumberFormat="1" applyFont="1" applyBorder="1" applyAlignment="1" applyProtection="1">
      <alignment/>
      <protection/>
    </xf>
    <xf numFmtId="37" fontId="32" fillId="0" borderId="17" xfId="0" applyNumberFormat="1" applyFont="1" applyBorder="1" applyAlignment="1" applyProtection="1">
      <alignment/>
      <protection/>
    </xf>
    <xf numFmtId="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/>
    </xf>
    <xf numFmtId="0" fontId="75" fillId="44" borderId="25" xfId="0" applyFont="1" applyFill="1" applyBorder="1" applyAlignment="1">
      <alignment horizontal="center"/>
    </xf>
    <xf numFmtId="0" fontId="75" fillId="44" borderId="26" xfId="0" applyFont="1" applyFill="1" applyBorder="1" applyAlignment="1">
      <alignment horizontal="center"/>
    </xf>
    <xf numFmtId="0" fontId="7" fillId="45" borderId="29" xfId="0" applyFont="1" applyFill="1" applyBorder="1" applyAlignment="1">
      <alignment horizontal="center" vertical="center"/>
    </xf>
    <xf numFmtId="0" fontId="7" fillId="45" borderId="30" xfId="0" applyFont="1" applyFill="1" applyBorder="1" applyAlignment="1">
      <alignment horizontal="center" vertical="center"/>
    </xf>
    <xf numFmtId="0" fontId="7" fillId="45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3" fillId="16" borderId="22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0" fillId="36" borderId="27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10" fillId="40" borderId="27" xfId="0" applyFont="1" applyFill="1" applyBorder="1" applyAlignment="1">
      <alignment/>
    </xf>
    <xf numFmtId="0" fontId="0" fillId="40" borderId="27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45" borderId="13" xfId="0" applyFont="1" applyFill="1" applyBorder="1" applyAlignment="1">
      <alignment horizontal="center" vertical="center" wrapText="1"/>
    </xf>
    <xf numFmtId="0" fontId="14" fillId="45" borderId="27" xfId="0" applyFont="1" applyFill="1" applyBorder="1" applyAlignment="1">
      <alignment horizontal="center" vertical="center" wrapText="1"/>
    </xf>
    <xf numFmtId="0" fontId="14" fillId="45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30" fillId="35" borderId="13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36" borderId="27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28" xfId="0" applyFont="1" applyFill="1" applyBorder="1" applyAlignment="1">
      <alignment horizontal="left"/>
    </xf>
    <xf numFmtId="0" fontId="10" fillId="36" borderId="13" xfId="0" applyFont="1" applyFill="1" applyBorder="1" applyAlignment="1">
      <alignment vertical="center"/>
    </xf>
    <xf numFmtId="0" fontId="10" fillId="36" borderId="27" xfId="0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40" borderId="27" xfId="0" applyFont="1" applyFill="1" applyBorder="1" applyAlignment="1">
      <alignment horizontal="left"/>
    </xf>
    <xf numFmtId="0" fontId="10" fillId="40" borderId="28" xfId="0" applyFont="1" applyFill="1" applyBorder="1" applyAlignment="1">
      <alignment horizontal="left"/>
    </xf>
    <xf numFmtId="0" fontId="10" fillId="40" borderId="25" xfId="0" applyFont="1" applyFill="1" applyBorder="1" applyAlignment="1">
      <alignment horizontal="left"/>
    </xf>
    <xf numFmtId="0" fontId="10" fillId="40" borderId="26" xfId="0" applyFont="1" applyFill="1" applyBorder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5" xfId="0" applyFont="1" applyFill="1" applyBorder="1" applyAlignment="1">
      <alignment vertical="center" wrapText="1"/>
    </xf>
    <xf numFmtId="0" fontId="0" fillId="13" borderId="26" xfId="0" applyFont="1" applyFill="1" applyBorder="1" applyAlignment="1">
      <alignment vertical="center" wrapText="1"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/>
    </xf>
    <xf numFmtId="0" fontId="0" fillId="13" borderId="30" xfId="0" applyFont="1" applyFill="1" applyBorder="1" applyAlignment="1">
      <alignment horizontal="left"/>
    </xf>
    <xf numFmtId="0" fontId="0" fillId="13" borderId="1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Link 2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Procent 2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kem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114300</xdr:rowOff>
    </xdr:from>
    <xdr:to>
      <xdr:col>10</xdr:col>
      <xdr:colOff>428625</xdr:colOff>
      <xdr:row>8</xdr:row>
      <xdr:rowOff>342900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6200000">
          <a:off x="4448175" y="3267075"/>
          <a:ext cx="2209800" cy="438150"/>
        </a:xfrm>
        <a:prstGeom prst="downArrow">
          <a:avLst>
            <a:gd name="adj1" fmla="val 33689"/>
            <a:gd name="adj2" fmla="val -239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1</xdr:row>
      <xdr:rowOff>276225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104775</xdr:colOff>
      <xdr:row>1</xdr:row>
      <xdr:rowOff>485775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04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83@dlf.org?subject=Tjek%20din%20l&#248;nsedde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B2:M15"/>
  <sheetViews>
    <sheetView showGridLines="0" showRowColHeaders="0" showZeros="0" tabSelected="1" showOutlineSymbols="0" zoomScalePageLayoutView="0" workbookViewId="0" topLeftCell="A1">
      <selection activeCell="N9" sqref="N9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17.57421875" style="0" customWidth="1"/>
    <col min="4" max="6" width="8.57421875" style="0" customWidth="1"/>
    <col min="11" max="11" width="11.8515625" style="0" customWidth="1"/>
    <col min="12" max="12" width="7.140625" style="0" customWidth="1"/>
  </cols>
  <sheetData>
    <row r="1" ht="27" customHeight="1" thickBot="1"/>
    <row r="2" spans="2:12" ht="26.25" customHeight="1" thickTop="1">
      <c r="B2" s="51"/>
      <c r="C2" s="108"/>
      <c r="D2" s="108"/>
      <c r="E2" s="108"/>
      <c r="F2" s="108"/>
      <c r="G2" s="108"/>
      <c r="H2" s="108"/>
      <c r="I2" s="108"/>
      <c r="J2" s="108"/>
      <c r="K2" s="108"/>
      <c r="L2" s="50"/>
    </row>
    <row r="3" spans="2:13" ht="27" customHeight="1">
      <c r="B3" s="52"/>
      <c r="C3" s="262" t="s">
        <v>50</v>
      </c>
      <c r="D3" s="263"/>
      <c r="E3" s="263"/>
      <c r="F3" s="263"/>
      <c r="G3" s="263"/>
      <c r="H3" s="263"/>
      <c r="I3" s="263"/>
      <c r="J3" s="263"/>
      <c r="K3" s="264"/>
      <c r="L3" s="44"/>
      <c r="M3" s="48"/>
    </row>
    <row r="4" spans="2:12" ht="27" customHeight="1">
      <c r="B4" s="52"/>
      <c r="C4" s="259" t="s">
        <v>121</v>
      </c>
      <c r="D4" s="260"/>
      <c r="E4" s="260"/>
      <c r="F4" s="260"/>
      <c r="G4" s="260"/>
      <c r="H4" s="260"/>
      <c r="I4" s="260"/>
      <c r="J4" s="260"/>
      <c r="K4" s="261"/>
      <c r="L4" s="49"/>
    </row>
    <row r="5" spans="2:13" ht="103.5" customHeight="1">
      <c r="B5" s="52"/>
      <c r="C5" s="256" t="s">
        <v>14</v>
      </c>
      <c r="D5" s="257"/>
      <c r="E5" s="257"/>
      <c r="F5" s="257"/>
      <c r="G5" s="257"/>
      <c r="H5" s="257"/>
      <c r="I5" s="257"/>
      <c r="J5" s="257"/>
      <c r="K5" s="258"/>
      <c r="L5" s="49"/>
      <c r="M5" s="48"/>
    </row>
    <row r="6" spans="2:13" ht="15.75" customHeight="1">
      <c r="B6" s="52"/>
      <c r="C6" s="55"/>
      <c r="D6" s="46"/>
      <c r="E6" s="47"/>
      <c r="F6" s="47"/>
      <c r="G6" s="56"/>
      <c r="H6" s="56"/>
      <c r="I6" s="56"/>
      <c r="J6" s="56"/>
      <c r="K6" s="57"/>
      <c r="L6" s="44"/>
      <c r="M6" s="48"/>
    </row>
    <row r="7" spans="2:13" ht="21.75" customHeight="1">
      <c r="B7" s="52"/>
      <c r="C7" s="265" t="s">
        <v>70</v>
      </c>
      <c r="D7" s="266"/>
      <c r="E7" s="266"/>
      <c r="F7" s="266"/>
      <c r="G7" s="266"/>
      <c r="H7" s="266"/>
      <c r="I7" s="266"/>
      <c r="J7" s="266"/>
      <c r="K7" s="267"/>
      <c r="L7" s="44"/>
      <c r="M7" s="48"/>
    </row>
    <row r="8" spans="2:13" ht="16.5" customHeight="1">
      <c r="B8" s="52"/>
      <c r="C8" s="55"/>
      <c r="D8" s="46"/>
      <c r="E8" s="47"/>
      <c r="F8" s="47"/>
      <c r="G8" s="56"/>
      <c r="H8" s="56"/>
      <c r="I8" s="56"/>
      <c r="J8" s="56"/>
      <c r="K8" s="57"/>
      <c r="L8" s="44"/>
      <c r="M8" s="48"/>
    </row>
    <row r="9" spans="2:13" ht="30" customHeight="1">
      <c r="B9" s="52"/>
      <c r="C9" s="58"/>
      <c r="D9" s="268" t="s">
        <v>15</v>
      </c>
      <c r="E9" s="268"/>
      <c r="F9" s="268"/>
      <c r="G9" s="268"/>
      <c r="H9" s="59"/>
      <c r="I9" s="59"/>
      <c r="J9" s="59"/>
      <c r="K9" s="60"/>
      <c r="L9" s="44"/>
      <c r="M9" s="48"/>
    </row>
    <row r="10" spans="2:13" ht="23.25" customHeight="1" thickBot="1">
      <c r="B10" s="52"/>
      <c r="C10" s="44"/>
      <c r="D10" s="45"/>
      <c r="E10" s="45"/>
      <c r="F10" s="45"/>
      <c r="G10" s="44"/>
      <c r="H10" s="44"/>
      <c r="I10" s="54"/>
      <c r="J10" s="44"/>
      <c r="K10" s="44"/>
      <c r="L10" s="54"/>
      <c r="M10" s="48"/>
    </row>
    <row r="11" spans="2:11" ht="14.25" thickBot="1" thickTop="1">
      <c r="B11" s="53"/>
      <c r="C11" s="53"/>
      <c r="D11" s="53"/>
      <c r="E11" s="53"/>
      <c r="F11" s="53"/>
      <c r="G11" s="53"/>
      <c r="H11" s="53"/>
      <c r="J11" s="53"/>
      <c r="K11" s="53"/>
    </row>
    <row r="12" spans="2:12" ht="16.5" thickTop="1">
      <c r="B12" s="131"/>
      <c r="C12" s="271" t="s">
        <v>30</v>
      </c>
      <c r="D12" s="271"/>
      <c r="E12" s="132"/>
      <c r="F12" s="132"/>
      <c r="G12" s="132"/>
      <c r="H12" s="132"/>
      <c r="I12" s="132"/>
      <c r="J12" s="132"/>
      <c r="K12" s="132"/>
      <c r="L12" s="133"/>
    </row>
    <row r="13" spans="2:12" ht="15">
      <c r="B13" s="134"/>
      <c r="C13" s="270" t="s">
        <v>31</v>
      </c>
      <c r="D13" s="270"/>
      <c r="E13" s="135"/>
      <c r="F13" s="136" t="s">
        <v>34</v>
      </c>
      <c r="G13" s="137" t="s">
        <v>35</v>
      </c>
      <c r="H13" s="135"/>
      <c r="I13" s="136" t="s">
        <v>36</v>
      </c>
      <c r="J13" s="270" t="s">
        <v>37</v>
      </c>
      <c r="K13" s="270"/>
      <c r="L13" s="138"/>
    </row>
    <row r="14" spans="2:12" ht="15">
      <c r="B14" s="134"/>
      <c r="C14" s="270" t="s">
        <v>32</v>
      </c>
      <c r="D14" s="270"/>
      <c r="E14" s="135"/>
      <c r="F14" s="139"/>
      <c r="G14" s="135"/>
      <c r="H14" s="135"/>
      <c r="I14" s="135"/>
      <c r="J14" s="140" t="s">
        <v>55</v>
      </c>
      <c r="K14" s="140"/>
      <c r="L14" s="138"/>
    </row>
    <row r="15" spans="2:12" ht="17.25" customHeight="1" thickBot="1">
      <c r="B15" s="141"/>
      <c r="C15" s="269" t="s">
        <v>33</v>
      </c>
      <c r="D15" s="269"/>
      <c r="E15" s="142"/>
      <c r="F15" s="142"/>
      <c r="G15" s="143"/>
      <c r="H15" s="142"/>
      <c r="I15" s="142"/>
      <c r="J15" s="142"/>
      <c r="K15" s="142"/>
      <c r="L15" s="144"/>
    </row>
    <row r="16" ht="13.5" thickTop="1"/>
  </sheetData>
  <sheetProtection/>
  <mergeCells count="10">
    <mergeCell ref="C5:K5"/>
    <mergeCell ref="C4:K4"/>
    <mergeCell ref="C3:K3"/>
    <mergeCell ref="C7:K7"/>
    <mergeCell ref="D9:G9"/>
    <mergeCell ref="C15:D15"/>
    <mergeCell ref="J13:K13"/>
    <mergeCell ref="C12:D12"/>
    <mergeCell ref="C13:D13"/>
    <mergeCell ref="C14:D14"/>
  </mergeCells>
  <hyperlinks>
    <hyperlink ref="G13" r:id="rId1" display="Tryk her"/>
  </hyperlinks>
  <printOptions/>
  <pageMargins left="0.3937007874015748" right="0.3937007874015748" top="0.984251968503937" bottom="0.984251968503937" header="0.5118110236220472" footer="0.6"/>
  <pageSetup horizontalDpi="600" verticalDpi="600" orientation="landscape" paperSize="9" r:id="rId3"/>
  <headerFooter alignWithMargins="0">
    <oddFooter>&amp;CUdarbejdet af Peter Ollendorff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10"/>
  </sheetPr>
  <dimension ref="A1:N56"/>
  <sheetViews>
    <sheetView showZeros="0" showOutlineSymbols="0" workbookViewId="0" topLeftCell="A1">
      <selection activeCell="A1" sqref="A1:K1"/>
    </sheetView>
  </sheetViews>
  <sheetFormatPr defaultColWidth="9.140625" defaultRowHeight="12.75"/>
  <cols>
    <col min="1" max="1" width="5.57421875" style="6" customWidth="1"/>
    <col min="2" max="2" width="9.8515625" style="2" customWidth="1"/>
    <col min="3" max="3" width="8.421875" style="2" customWidth="1"/>
    <col min="4" max="4" width="5.140625" style="2" customWidth="1"/>
    <col min="5" max="5" width="8.00390625" style="2" customWidth="1"/>
    <col min="6" max="6" width="9.00390625" style="2" customWidth="1"/>
    <col min="7" max="7" width="7.140625" style="2" customWidth="1"/>
    <col min="8" max="8" width="10.421875" style="2" customWidth="1"/>
    <col min="9" max="9" width="9.421875" style="2" customWidth="1"/>
    <col min="10" max="10" width="11.57421875" style="3" customWidth="1"/>
    <col min="11" max="11" width="10.8515625" style="3" customWidth="1"/>
    <col min="12" max="12" width="11.00390625" style="2" bestFit="1" customWidth="1"/>
    <col min="13" max="13" width="13.57421875" style="2" bestFit="1" customWidth="1"/>
    <col min="14" max="14" width="12.140625" style="2" bestFit="1" customWidth="1"/>
    <col min="15" max="15" width="9.140625" style="2" customWidth="1"/>
    <col min="16" max="16" width="10.421875" style="2" bestFit="1" customWidth="1"/>
    <col min="17" max="16384" width="9.140625" style="2" customWidth="1"/>
  </cols>
  <sheetData>
    <row r="1" spans="1:12" s="1" customFormat="1" ht="45.75" customHeight="1">
      <c r="A1" s="285" t="s">
        <v>120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2"/>
    </row>
    <row r="2" spans="1:12" s="1" customFormat="1" ht="24.75" customHeight="1">
      <c r="A2" s="288" t="s">
        <v>80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  <c r="L2" s="2"/>
    </row>
    <row r="3" spans="1:14" ht="16.5" customHeight="1">
      <c r="A3" s="291" t="s">
        <v>11</v>
      </c>
      <c r="B3" s="292"/>
      <c r="C3" s="292"/>
      <c r="D3" s="292"/>
      <c r="E3" s="292"/>
      <c r="F3" s="293"/>
      <c r="G3" s="104">
        <f>37*100/37</f>
        <v>100</v>
      </c>
      <c r="H3" s="296" t="s">
        <v>0</v>
      </c>
      <c r="I3" s="297"/>
      <c r="J3" s="297"/>
      <c r="K3" s="298"/>
      <c r="L3" s="83"/>
      <c r="M3"/>
      <c r="N3" s="83"/>
    </row>
    <row r="4" spans="1:11" ht="16.5" customHeight="1">
      <c r="A4" s="146" t="s">
        <v>81</v>
      </c>
      <c r="B4" s="145"/>
      <c r="C4" s="145"/>
      <c r="D4" s="145" t="s">
        <v>82</v>
      </c>
      <c r="E4" s="145"/>
      <c r="F4" s="145"/>
      <c r="G4" s="147"/>
      <c r="H4" s="148"/>
      <c r="I4" s="148"/>
      <c r="J4" s="148"/>
      <c r="K4" s="149"/>
    </row>
    <row r="5" spans="1:11" s="32" customFormat="1" ht="16.5" customHeight="1">
      <c r="A5" s="151" t="s">
        <v>85</v>
      </c>
      <c r="B5" s="150"/>
      <c r="C5" s="150"/>
      <c r="D5" s="294" t="s">
        <v>86</v>
      </c>
      <c r="E5" s="294"/>
      <c r="F5" s="294"/>
      <c r="G5" s="150" t="s">
        <v>87</v>
      </c>
      <c r="H5" s="150"/>
      <c r="I5" s="150"/>
      <c r="J5" s="294" t="s">
        <v>88</v>
      </c>
      <c r="K5" s="295"/>
    </row>
    <row r="6" spans="1:11" ht="15">
      <c r="A6" s="84" t="s">
        <v>89</v>
      </c>
      <c r="B6" s="85"/>
      <c r="C6" s="85"/>
      <c r="D6" s="85"/>
      <c r="E6" s="85"/>
      <c r="F6" s="86"/>
      <c r="G6" s="87"/>
      <c r="H6" s="88"/>
      <c r="I6" s="28"/>
      <c r="J6" s="40" t="s">
        <v>1</v>
      </c>
      <c r="K6" s="40" t="s">
        <v>2</v>
      </c>
    </row>
    <row r="7" spans="1:11" ht="15">
      <c r="A7" s="29">
        <v>1</v>
      </c>
      <c r="B7" s="277" t="s">
        <v>18</v>
      </c>
      <c r="C7" s="278"/>
      <c r="D7" s="278"/>
      <c r="E7" s="279"/>
      <c r="F7" s="272" t="s">
        <v>83</v>
      </c>
      <c r="G7" s="273"/>
      <c r="H7" s="280"/>
      <c r="I7" s="22"/>
      <c r="J7" s="119">
        <f>(IF(I7=1,Ark3!I10,IF(I7=2,Ark3!I14,IF(I7=3,Ark3!B19,IF(I7=4,Ark3!I19,IF(I7=0,0,"det kan vist ikke passe"))))))*G3/100</f>
        <v>0</v>
      </c>
      <c r="K7" s="23">
        <f>J7/12</f>
        <v>0</v>
      </c>
    </row>
    <row r="8" spans="1:12" ht="15">
      <c r="A8" s="117"/>
      <c r="B8" s="276" t="s">
        <v>22</v>
      </c>
      <c r="C8" s="276"/>
      <c r="D8" s="276"/>
      <c r="E8" s="276"/>
      <c r="F8" s="19"/>
      <c r="G8" s="67"/>
      <c r="H8" s="24"/>
      <c r="I8" s="118"/>
      <c r="J8" s="120">
        <f>(IF(I7&gt;0,(Ark2!C13*G3/100),0))</f>
        <v>0</v>
      </c>
      <c r="K8" s="20">
        <f>J8/12</f>
        <v>0</v>
      </c>
      <c r="L8" s="254"/>
    </row>
    <row r="9" spans="1:11" ht="15">
      <c r="A9" s="21"/>
      <c r="B9" s="112" t="s">
        <v>66</v>
      </c>
      <c r="C9" s="112"/>
      <c r="D9" s="112"/>
      <c r="E9" s="112"/>
      <c r="F9" s="19"/>
      <c r="G9" s="67"/>
      <c r="H9" s="24"/>
      <c r="I9" s="121"/>
      <c r="J9" s="120">
        <f>(IF(I7&gt;0,(Ark2!C16*G3/100),0))</f>
        <v>0</v>
      </c>
      <c r="K9" s="20">
        <f>J9/12</f>
        <v>0</v>
      </c>
    </row>
    <row r="10" spans="1:11" ht="15">
      <c r="A10" s="21"/>
      <c r="B10" s="112" t="s">
        <v>67</v>
      </c>
      <c r="C10" s="112"/>
      <c r="D10" s="112"/>
      <c r="E10" s="112"/>
      <c r="F10" s="19"/>
      <c r="I10" s="126"/>
      <c r="J10" s="2"/>
      <c r="K10" s="124"/>
    </row>
    <row r="11" spans="1:11" ht="15">
      <c r="A11" s="21"/>
      <c r="B11" s="112"/>
      <c r="C11" s="112"/>
      <c r="D11" s="112"/>
      <c r="E11" s="112"/>
      <c r="F11" s="19"/>
      <c r="G11" s="66" t="s">
        <v>65</v>
      </c>
      <c r="I11" s="127">
        <f>(IF(I10&gt;(760*G3/100),(I10-(760*G3/100)),0))</f>
        <v>0</v>
      </c>
      <c r="J11" s="120">
        <f>I11*Ark2!C33</f>
        <v>0</v>
      </c>
      <c r="K11" s="20">
        <f aca="true" t="shared" si="0" ref="K11:K19">J11/12</f>
        <v>0</v>
      </c>
    </row>
    <row r="12" spans="1:13" ht="15">
      <c r="A12" s="29">
        <v>2</v>
      </c>
      <c r="B12" s="281" t="s">
        <v>19</v>
      </c>
      <c r="C12" s="282"/>
      <c r="D12" s="282"/>
      <c r="E12" s="283"/>
      <c r="F12" s="272" t="s">
        <v>83</v>
      </c>
      <c r="G12" s="273"/>
      <c r="H12" s="280"/>
      <c r="I12" s="22"/>
      <c r="J12" s="119">
        <f>(IF(I12=4,Ark3!I22))*G3/100</f>
        <v>0</v>
      </c>
      <c r="K12" s="23">
        <f t="shared" si="0"/>
        <v>0</v>
      </c>
      <c r="M12" s="4"/>
    </row>
    <row r="13" spans="1:11" ht="15">
      <c r="A13" s="21"/>
      <c r="B13" s="276" t="s">
        <v>22</v>
      </c>
      <c r="C13" s="276"/>
      <c r="D13" s="276"/>
      <c r="E13" s="276"/>
      <c r="F13" s="19"/>
      <c r="G13" s="116"/>
      <c r="H13" s="24"/>
      <c r="I13" s="118">
        <f>(IF(G13&gt;(750*G3/100),(451*G3/100),IF(G13&gt;(299*G3/100),G13-(299*G3/100),IF(G13&lt;(300*G3/100),0))))</f>
        <v>0</v>
      </c>
      <c r="J13" s="120">
        <f>(IF(I12&gt;0,(Ark2!C13*G3/100),0))</f>
        <v>0</v>
      </c>
      <c r="K13" s="20">
        <f t="shared" si="0"/>
        <v>0</v>
      </c>
    </row>
    <row r="14" spans="1:11" ht="15">
      <c r="A14" s="21"/>
      <c r="B14" s="112" t="s">
        <v>66</v>
      </c>
      <c r="C14" s="112"/>
      <c r="D14" s="112"/>
      <c r="E14" s="112"/>
      <c r="F14" s="19"/>
      <c r="G14" s="116"/>
      <c r="H14" s="24"/>
      <c r="I14" s="90"/>
      <c r="J14" s="120">
        <f>(IF(I12&gt;0,(Ark2!C19*G3/100),0))</f>
        <v>0</v>
      </c>
      <c r="K14" s="20">
        <f t="shared" si="0"/>
        <v>0</v>
      </c>
    </row>
    <row r="15" spans="1:11" ht="15">
      <c r="A15" s="21"/>
      <c r="B15" s="112" t="s">
        <v>67</v>
      </c>
      <c r="C15" s="112"/>
      <c r="D15" s="112"/>
      <c r="E15" s="112"/>
      <c r="F15" s="19"/>
      <c r="H15" s="24"/>
      <c r="I15" s="125"/>
      <c r="J15" s="120"/>
      <c r="K15" s="20">
        <f t="shared" si="0"/>
        <v>0</v>
      </c>
    </row>
    <row r="16" spans="1:11" ht="15">
      <c r="A16" s="21"/>
      <c r="B16" s="112"/>
      <c r="C16" s="112"/>
      <c r="D16" s="112"/>
      <c r="E16" s="112"/>
      <c r="F16" s="19"/>
      <c r="G16" s="66" t="s">
        <v>65</v>
      </c>
      <c r="H16" s="24"/>
      <c r="I16" s="127">
        <f>(IF(I15&gt;(760*G3/100),(I15-(760*G3/100)),0))</f>
        <v>0</v>
      </c>
      <c r="J16" s="120">
        <f>I16*Ark2!C33</f>
        <v>0</v>
      </c>
      <c r="K16" s="20">
        <f t="shared" si="0"/>
        <v>0</v>
      </c>
    </row>
    <row r="17" spans="1:11" ht="15">
      <c r="A17" s="29">
        <v>3</v>
      </c>
      <c r="B17" s="277" t="s">
        <v>20</v>
      </c>
      <c r="C17" s="278"/>
      <c r="D17" s="278"/>
      <c r="E17" s="279"/>
      <c r="F17" s="272" t="s">
        <v>83</v>
      </c>
      <c r="G17" s="273"/>
      <c r="H17" s="280"/>
      <c r="I17" s="22"/>
      <c r="J17" s="23">
        <f>(IF(I17=1,Ark3!F7,IF(I17=2,Ark3!F10,IF(I17=3,Ark3!B12,IF(I17=4,Ark3!F16,IF(I17=0,0,"det kan vist ikke passe"))))))*G3/100</f>
        <v>0</v>
      </c>
      <c r="K17" s="23">
        <f t="shared" si="0"/>
        <v>0</v>
      </c>
    </row>
    <row r="18" spans="1:11" ht="15">
      <c r="A18" s="21"/>
      <c r="B18" s="284" t="s">
        <v>22</v>
      </c>
      <c r="C18" s="284"/>
      <c r="D18" s="284"/>
      <c r="E18" s="284"/>
      <c r="F18" s="19"/>
      <c r="G18" s="67"/>
      <c r="H18" s="24"/>
      <c r="I18" s="90">
        <f>IF(G18&gt;750*G3/100,451*G3/100,IF(G18&gt;299*G3/100,G18-299*G3/100,IF(G18&lt;300*G3/100,0)))</f>
        <v>0</v>
      </c>
      <c r="J18" s="20">
        <f>(IF(I17&gt;0,(Ark2!C13*G3/100),0))</f>
        <v>0</v>
      </c>
      <c r="K18" s="20">
        <f t="shared" si="0"/>
        <v>0</v>
      </c>
    </row>
    <row r="19" spans="1:13" ht="15">
      <c r="A19" s="21"/>
      <c r="B19" s="112" t="s">
        <v>97</v>
      </c>
      <c r="C19" s="112"/>
      <c r="D19" s="112"/>
      <c r="E19" s="112"/>
      <c r="F19" s="19"/>
      <c r="G19" s="67"/>
      <c r="H19" s="24"/>
      <c r="I19" s="90"/>
      <c r="J19" s="20">
        <f>(IF(I17&gt;0,(Ark2!C20*G3/100),0))</f>
        <v>0</v>
      </c>
      <c r="K19" s="20">
        <f t="shared" si="0"/>
        <v>0</v>
      </c>
      <c r="M19" s="4"/>
    </row>
    <row r="20" spans="1:13" ht="15">
      <c r="A20" s="21"/>
      <c r="B20" s="112" t="s">
        <v>98</v>
      </c>
      <c r="C20" s="112"/>
      <c r="D20" s="112"/>
      <c r="E20" s="112"/>
      <c r="F20" s="19"/>
      <c r="G20" s="67"/>
      <c r="H20" s="24"/>
      <c r="I20" s="125"/>
      <c r="J20" s="20"/>
      <c r="K20" s="20"/>
      <c r="M20" s="4"/>
    </row>
    <row r="21" spans="1:13" ht="15">
      <c r="A21" s="21"/>
      <c r="C21" s="112"/>
      <c r="D21" s="112"/>
      <c r="G21" s="112" t="s">
        <v>64</v>
      </c>
      <c r="H21" s="24"/>
      <c r="I21" s="127">
        <f>IF(I20&gt;(835*G3/100),(I20-(835*G3/100)),0)</f>
        <v>0</v>
      </c>
      <c r="J21" s="128">
        <f>I21*Ark2!C34</f>
        <v>0</v>
      </c>
      <c r="K21" s="20">
        <f>J21/12</f>
        <v>0</v>
      </c>
      <c r="M21" s="4"/>
    </row>
    <row r="22" spans="1:13" ht="15">
      <c r="A22" s="29">
        <v>4</v>
      </c>
      <c r="B22" s="300" t="s">
        <v>21</v>
      </c>
      <c r="C22" s="301"/>
      <c r="D22" s="301"/>
      <c r="E22" s="302"/>
      <c r="F22" s="272" t="s">
        <v>83</v>
      </c>
      <c r="G22" s="273"/>
      <c r="H22" s="280"/>
      <c r="I22" s="22"/>
      <c r="J22" s="23">
        <f>(IF(I22=4,Ark3!F15))*G3/100</f>
        <v>0</v>
      </c>
      <c r="K22" s="89">
        <f>J22/12</f>
        <v>0</v>
      </c>
      <c r="M22" s="4"/>
    </row>
    <row r="23" spans="1:13" ht="15">
      <c r="A23" s="117"/>
      <c r="B23" s="276" t="s">
        <v>22</v>
      </c>
      <c r="C23" s="276"/>
      <c r="D23" s="276"/>
      <c r="E23" s="276"/>
      <c r="F23" s="19"/>
      <c r="G23" s="67"/>
      <c r="H23" s="24"/>
      <c r="I23" s="90"/>
      <c r="J23" s="20">
        <f>(IF(I22&gt;0,(Ark2!C13*G3/100),0))</f>
        <v>0</v>
      </c>
      <c r="K23" s="129">
        <f>J23/12</f>
        <v>0</v>
      </c>
      <c r="M23" s="123"/>
    </row>
    <row r="24" spans="1:11" ht="15">
      <c r="A24" s="21"/>
      <c r="B24" s="112" t="s">
        <v>97</v>
      </c>
      <c r="C24" s="112"/>
      <c r="D24" s="112"/>
      <c r="E24" s="112"/>
      <c r="F24" s="19"/>
      <c r="G24" s="67"/>
      <c r="H24" s="24"/>
      <c r="I24" s="90"/>
      <c r="J24" s="20">
        <f>(IF(I22&gt;0,(Ark2!C21*G3/100),0))</f>
        <v>0</v>
      </c>
      <c r="K24" s="129">
        <f>J24/12</f>
        <v>0</v>
      </c>
    </row>
    <row r="25" spans="1:11" ht="15">
      <c r="A25" s="21"/>
      <c r="B25" s="112" t="s">
        <v>98</v>
      </c>
      <c r="C25" s="112"/>
      <c r="D25" s="112"/>
      <c r="E25" s="112"/>
      <c r="F25" s="19"/>
      <c r="G25" s="67"/>
      <c r="H25" s="24"/>
      <c r="I25" s="125"/>
      <c r="J25" s="124"/>
      <c r="K25" s="129"/>
    </row>
    <row r="26" spans="1:11" ht="15">
      <c r="A26" s="21"/>
      <c r="B26" s="112"/>
      <c r="C26" s="112"/>
      <c r="D26" s="112"/>
      <c r="E26" s="112"/>
      <c r="G26" s="112" t="s">
        <v>64</v>
      </c>
      <c r="H26" s="24"/>
      <c r="I26" s="214">
        <f>IF(I25&gt;(835*G3/100),(I25-(835*G3/100)),0)</f>
        <v>0</v>
      </c>
      <c r="J26" s="128">
        <f>I26*Ark2!C34</f>
        <v>0</v>
      </c>
      <c r="K26" s="20">
        <f>J26/12</f>
        <v>0</v>
      </c>
    </row>
    <row r="27" spans="1:11" ht="15">
      <c r="A27" s="213">
        <v>5</v>
      </c>
      <c r="B27" s="308" t="s">
        <v>104</v>
      </c>
      <c r="C27" s="308"/>
      <c r="D27" s="308"/>
      <c r="E27" s="309"/>
      <c r="F27" s="272" t="s">
        <v>83</v>
      </c>
      <c r="G27" s="273"/>
      <c r="H27" s="273"/>
      <c r="I27" s="228"/>
      <c r="J27" s="216">
        <f>(IF(I27=1,Ark3!G24,IF(I27=2,Ark3!G25)))*G3/100</f>
        <v>0</v>
      </c>
      <c r="K27" s="23">
        <f>J27/12</f>
        <v>0</v>
      </c>
    </row>
    <row r="28" spans="1:11" ht="15">
      <c r="A28" s="217"/>
      <c r="B28" s="211"/>
      <c r="C28" s="211"/>
      <c r="D28" s="211"/>
      <c r="E28" s="211"/>
      <c r="F28" s="221"/>
      <c r="G28" s="211"/>
      <c r="H28" s="218"/>
      <c r="I28" s="219"/>
      <c r="J28" s="220"/>
      <c r="K28" s="207"/>
    </row>
    <row r="29" spans="1:11" ht="15">
      <c r="A29" s="215">
        <v>6</v>
      </c>
      <c r="B29" s="310" t="s">
        <v>105</v>
      </c>
      <c r="C29" s="310"/>
      <c r="D29" s="310"/>
      <c r="E29" s="311"/>
      <c r="F29" s="272" t="s">
        <v>83</v>
      </c>
      <c r="G29" s="273"/>
      <c r="H29" s="273"/>
      <c r="I29" s="228"/>
      <c r="J29" s="212">
        <f>(IF(I29=1,Ark3!N23,IF(I29=2,Ark3!N24)))*G3/100</f>
        <v>0</v>
      </c>
      <c r="K29" s="20">
        <f>J29/12</f>
        <v>0</v>
      </c>
    </row>
    <row r="30" spans="1:11" ht="15">
      <c r="A30" s="21"/>
      <c r="B30" s="274" t="s">
        <v>109</v>
      </c>
      <c r="C30" s="274"/>
      <c r="D30" s="112"/>
      <c r="E30" s="112"/>
      <c r="F30" s="66"/>
      <c r="G30" s="275" t="s">
        <v>110</v>
      </c>
      <c r="H30" s="275"/>
      <c r="I30" s="228"/>
      <c r="J30" s="129">
        <f>(IF(I30=1,Ark2!C36))*G3/100</f>
        <v>0</v>
      </c>
      <c r="K30" s="20">
        <f>J30/12</f>
        <v>0</v>
      </c>
    </row>
    <row r="31" spans="1:11" ht="36">
      <c r="A31" s="303" t="s">
        <v>10</v>
      </c>
      <c r="B31" s="304"/>
      <c r="C31" s="304"/>
      <c r="D31" s="304"/>
      <c r="E31" s="304"/>
      <c r="F31" s="304"/>
      <c r="G31" s="305"/>
      <c r="H31" s="102" t="s">
        <v>38</v>
      </c>
      <c r="I31" s="28" t="s">
        <v>3</v>
      </c>
      <c r="J31" s="122" t="s">
        <v>1</v>
      </c>
      <c r="K31" s="40" t="s">
        <v>2</v>
      </c>
    </row>
    <row r="32" spans="1:11" ht="15">
      <c r="A32" s="98"/>
      <c r="B32" s="100" t="s">
        <v>56</v>
      </c>
      <c r="C32" s="99"/>
      <c r="D32" s="99"/>
      <c r="E32" s="99"/>
      <c r="F32" s="99"/>
      <c r="G32" s="99"/>
      <c r="H32" s="101"/>
      <c r="I32" s="103">
        <f aca="true" t="shared" si="1" ref="I32:I40">J32</f>
        <v>0</v>
      </c>
      <c r="J32" s="205">
        <f>H32*Ark2!C26</f>
        <v>0</v>
      </c>
      <c r="K32" s="205">
        <f aca="true" t="shared" si="2" ref="K32:K38">J32/12</f>
        <v>0</v>
      </c>
    </row>
    <row r="33" spans="1:11" ht="15">
      <c r="A33" s="98"/>
      <c r="B33" s="100" t="s">
        <v>40</v>
      </c>
      <c r="C33" s="99"/>
      <c r="D33" s="99"/>
      <c r="E33" s="99"/>
      <c r="F33" s="99"/>
      <c r="G33" s="99"/>
      <c r="H33" s="101"/>
      <c r="I33" s="103">
        <f t="shared" si="1"/>
        <v>0</v>
      </c>
      <c r="J33" s="110">
        <f>H33*Ark2!C27</f>
        <v>0</v>
      </c>
      <c r="K33" s="110">
        <f t="shared" si="2"/>
        <v>0</v>
      </c>
    </row>
    <row r="34" spans="1:11" ht="15">
      <c r="A34" s="98"/>
      <c r="B34" s="100" t="s">
        <v>41</v>
      </c>
      <c r="C34" s="99"/>
      <c r="D34" s="99"/>
      <c r="E34" s="99"/>
      <c r="F34" s="99"/>
      <c r="G34" s="99"/>
      <c r="H34" s="101"/>
      <c r="I34" s="103">
        <f t="shared" si="1"/>
        <v>0</v>
      </c>
      <c r="J34" s="110">
        <f>H34*Ark2!C28</f>
        <v>0</v>
      </c>
      <c r="K34" s="110">
        <f t="shared" si="2"/>
        <v>0</v>
      </c>
    </row>
    <row r="35" spans="1:11" ht="15">
      <c r="A35" s="98"/>
      <c r="B35" s="100" t="s">
        <v>47</v>
      </c>
      <c r="C35" s="99"/>
      <c r="D35" s="99"/>
      <c r="E35" s="99"/>
      <c r="F35" s="99"/>
      <c r="G35" s="99"/>
      <c r="H35" s="101"/>
      <c r="I35" s="103">
        <f t="shared" si="1"/>
        <v>0</v>
      </c>
      <c r="J35" s="110">
        <f>H35*Ark2!C22</f>
        <v>0</v>
      </c>
      <c r="K35" s="110">
        <f t="shared" si="2"/>
        <v>0</v>
      </c>
    </row>
    <row r="36" spans="1:11" ht="15">
      <c r="A36" s="98"/>
      <c r="B36" s="100" t="s">
        <v>48</v>
      </c>
      <c r="C36" s="99"/>
      <c r="D36" s="99"/>
      <c r="E36" s="99"/>
      <c r="F36" s="99"/>
      <c r="G36" s="99"/>
      <c r="H36" s="101"/>
      <c r="I36" s="103">
        <f t="shared" si="1"/>
        <v>0</v>
      </c>
      <c r="J36" s="110">
        <f>H36*Ark2!C23</f>
        <v>0</v>
      </c>
      <c r="K36" s="110">
        <f t="shared" si="2"/>
        <v>0</v>
      </c>
    </row>
    <row r="37" spans="1:11" ht="15">
      <c r="A37" s="98"/>
      <c r="B37" s="100" t="s">
        <v>49</v>
      </c>
      <c r="C37" s="99"/>
      <c r="D37" s="99"/>
      <c r="E37" s="99"/>
      <c r="F37" s="99"/>
      <c r="G37" s="99"/>
      <c r="H37" s="101"/>
      <c r="I37" s="103">
        <f t="shared" si="1"/>
        <v>0</v>
      </c>
      <c r="J37" s="110">
        <f>H37*Ark2!C24</f>
        <v>0</v>
      </c>
      <c r="K37" s="110">
        <f t="shared" si="2"/>
        <v>0</v>
      </c>
    </row>
    <row r="38" spans="1:11" ht="15">
      <c r="A38" s="98"/>
      <c r="B38" s="100" t="s">
        <v>42</v>
      </c>
      <c r="C38" s="99"/>
      <c r="D38" s="99"/>
      <c r="E38" s="99"/>
      <c r="F38" s="99"/>
      <c r="G38" s="99"/>
      <c r="H38" s="101"/>
      <c r="I38" s="103">
        <f t="shared" si="1"/>
        <v>0</v>
      </c>
      <c r="J38" s="110">
        <f>H38*Ark2!C25</f>
        <v>0</v>
      </c>
      <c r="K38" s="110">
        <f t="shared" si="2"/>
        <v>0</v>
      </c>
    </row>
    <row r="39" spans="1:11" ht="15">
      <c r="A39" s="98"/>
      <c r="B39" s="100" t="s">
        <v>57</v>
      </c>
      <c r="C39" s="99"/>
      <c r="D39" s="99"/>
      <c r="E39" s="99"/>
      <c r="F39" s="99"/>
      <c r="G39" s="99"/>
      <c r="H39" s="101"/>
      <c r="I39" s="103">
        <f>J39</f>
        <v>0</v>
      </c>
      <c r="J39" s="110">
        <f>H39*Ark2!C9</f>
        <v>0</v>
      </c>
      <c r="K39" s="110">
        <f>J39/12</f>
        <v>0</v>
      </c>
    </row>
    <row r="40" spans="1:11" ht="15">
      <c r="A40" s="21"/>
      <c r="B40" s="299" t="s">
        <v>13</v>
      </c>
      <c r="C40" s="299"/>
      <c r="D40" s="299"/>
      <c r="E40" s="299"/>
      <c r="F40" s="299"/>
      <c r="G40" s="299"/>
      <c r="H40" s="104"/>
      <c r="I40" s="31">
        <f t="shared" si="1"/>
        <v>0</v>
      </c>
      <c r="J40" s="33">
        <f>H40*Ark2!C10</f>
        <v>0</v>
      </c>
      <c r="K40" s="33">
        <f>+J40/12</f>
        <v>0</v>
      </c>
    </row>
    <row r="41" spans="1:11" ht="15">
      <c r="A41" s="21"/>
      <c r="B41" s="284" t="s">
        <v>4</v>
      </c>
      <c r="C41" s="284"/>
      <c r="D41" s="284"/>
      <c r="E41" s="284"/>
      <c r="F41" s="284"/>
      <c r="G41" s="284"/>
      <c r="H41" s="26">
        <v>1</v>
      </c>
      <c r="I41" s="41">
        <v>86.47</v>
      </c>
      <c r="J41" s="33">
        <f>K41*12</f>
        <v>1037.6399999999999</v>
      </c>
      <c r="K41" s="33">
        <f>H41*I41</f>
        <v>86.47</v>
      </c>
    </row>
    <row r="42" spans="1:11" ht="15">
      <c r="A42" s="21"/>
      <c r="B42" s="299" t="s">
        <v>27</v>
      </c>
      <c r="C42" s="299"/>
      <c r="D42" s="299"/>
      <c r="E42" s="299"/>
      <c r="F42" s="306" t="s">
        <v>26</v>
      </c>
      <c r="G42" s="306"/>
      <c r="H42" s="307"/>
      <c r="I42" s="42"/>
      <c r="J42" s="20">
        <f>I42*G3/100</f>
        <v>0</v>
      </c>
      <c r="K42" s="20">
        <f aca="true" t="shared" si="3" ref="K42:K47">J42/12</f>
        <v>0</v>
      </c>
    </row>
    <row r="43" spans="1:11" ht="15">
      <c r="A43" s="21"/>
      <c r="B43" s="299" t="s">
        <v>29</v>
      </c>
      <c r="C43" s="299"/>
      <c r="D43" s="299"/>
      <c r="E43" s="299"/>
      <c r="F43" s="299"/>
      <c r="G43" s="316"/>
      <c r="H43" s="104"/>
      <c r="I43" s="204">
        <f>H43*Ark2!C11</f>
        <v>0</v>
      </c>
      <c r="J43" s="33">
        <f>I43*G3/100</f>
        <v>0</v>
      </c>
      <c r="K43" s="20">
        <f t="shared" si="3"/>
        <v>0</v>
      </c>
    </row>
    <row r="44" spans="1:11" ht="15">
      <c r="A44" s="21"/>
      <c r="B44" s="324" t="s">
        <v>102</v>
      </c>
      <c r="C44" s="324"/>
      <c r="D44" s="324"/>
      <c r="E44" s="324"/>
      <c r="F44" s="324"/>
      <c r="G44" s="324"/>
      <c r="H44" s="104"/>
      <c r="I44" s="204">
        <f>H44*Ark2!C35</f>
        <v>0</v>
      </c>
      <c r="J44" s="206">
        <f>I44*G3/100</f>
        <v>0</v>
      </c>
      <c r="K44" s="207">
        <f t="shared" si="3"/>
        <v>0</v>
      </c>
    </row>
    <row r="45" spans="1:11" ht="15">
      <c r="A45" s="164"/>
      <c r="B45" s="322" t="s">
        <v>91</v>
      </c>
      <c r="C45" s="322"/>
      <c r="D45" s="322"/>
      <c r="E45" s="322"/>
      <c r="F45" s="322"/>
      <c r="G45" s="322"/>
      <c r="H45" s="323"/>
      <c r="I45" s="166"/>
      <c r="J45" s="197">
        <f>I45*Ark2!C2*G3/100</f>
        <v>0</v>
      </c>
      <c r="K45" s="159">
        <f t="shared" si="3"/>
        <v>0</v>
      </c>
    </row>
    <row r="46" spans="1:11" ht="15">
      <c r="A46" s="163"/>
      <c r="B46" s="312" t="s">
        <v>68</v>
      </c>
      <c r="C46" s="312"/>
      <c r="D46" s="312"/>
      <c r="E46" s="312"/>
      <c r="F46" s="312"/>
      <c r="G46" s="312"/>
      <c r="H46" s="313"/>
      <c r="I46" s="42"/>
      <c r="J46" s="159">
        <f>I46*Ark2!C4</f>
        <v>0</v>
      </c>
      <c r="K46" s="160">
        <f t="shared" si="3"/>
        <v>0</v>
      </c>
    </row>
    <row r="47" spans="1:11" ht="30.75" customHeight="1">
      <c r="A47" s="165"/>
      <c r="B47" s="314" t="s">
        <v>69</v>
      </c>
      <c r="C47" s="314"/>
      <c r="D47" s="314"/>
      <c r="E47" s="314"/>
      <c r="F47" s="314"/>
      <c r="G47" s="314"/>
      <c r="H47" s="315"/>
      <c r="I47" s="43"/>
      <c r="J47" s="161">
        <f>I47*Ark2!C5</f>
        <v>0</v>
      </c>
      <c r="K47" s="162">
        <f t="shared" si="3"/>
        <v>0</v>
      </c>
    </row>
    <row r="48" spans="1:13" ht="15">
      <c r="A48" s="321" t="s">
        <v>9</v>
      </c>
      <c r="B48" s="278"/>
      <c r="C48" s="278"/>
      <c r="D48" s="278"/>
      <c r="E48" s="278"/>
      <c r="F48" s="278"/>
      <c r="G48" s="278"/>
      <c r="H48" s="278"/>
      <c r="I48" s="278"/>
      <c r="J48" s="30">
        <f>SUM(J7:J47)</f>
        <v>1037.6399999999999</v>
      </c>
      <c r="K48" s="30">
        <f>SUM(K7:K47)</f>
        <v>86.47</v>
      </c>
      <c r="M48" s="153"/>
    </row>
    <row r="49" spans="1:14" ht="15">
      <c r="A49" s="107"/>
      <c r="B49" s="107"/>
      <c r="C49" s="107"/>
      <c r="D49" s="107"/>
      <c r="E49" s="107"/>
      <c r="F49" s="107"/>
      <c r="G49" s="107"/>
      <c r="H49" s="107" t="s">
        <v>39</v>
      </c>
      <c r="I49" s="107"/>
      <c r="J49" s="111">
        <f>K49*12</f>
        <v>0</v>
      </c>
      <c r="K49" s="111">
        <f>K48-K41</f>
        <v>0</v>
      </c>
      <c r="L49" s="198">
        <f>(10*90*Ark2!C2/12)*G3/100</f>
        <v>107.13832500000001</v>
      </c>
      <c r="M49" s="199">
        <f>K49-L49</f>
        <v>-107.13832500000001</v>
      </c>
      <c r="N49" s="153"/>
    </row>
    <row r="50" spans="1:11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7"/>
      <c r="K50" s="27"/>
    </row>
    <row r="51" spans="1:12" ht="27.75" customHeight="1">
      <c r="A51" s="318" t="s">
        <v>12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20"/>
      <c r="L51" s="5"/>
    </row>
    <row r="52" spans="1:12" ht="27" customHeight="1">
      <c r="A52" s="317" t="s">
        <v>5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5"/>
    </row>
    <row r="53" spans="1:12" ht="26.25" customHeight="1">
      <c r="A53" s="2"/>
      <c r="C53" s="7"/>
      <c r="D53" s="7"/>
      <c r="E53" s="7"/>
      <c r="F53" s="7"/>
      <c r="G53" s="7"/>
      <c r="I53" s="7"/>
      <c r="J53" s="7"/>
      <c r="K53" s="5"/>
      <c r="L53" s="5"/>
    </row>
    <row r="54" spans="1:12" ht="27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5"/>
      <c r="L54" s="5"/>
    </row>
    <row r="55" spans="1:12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4"/>
    </row>
    <row r="56" spans="1:11" ht="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</sheetData>
  <sheetProtection/>
  <mergeCells count="37">
    <mergeCell ref="B46:H46"/>
    <mergeCell ref="B47:H47"/>
    <mergeCell ref="B43:G43"/>
    <mergeCell ref="B42:E42"/>
    <mergeCell ref="A52:K52"/>
    <mergeCell ref="A51:K51"/>
    <mergeCell ref="A48:I48"/>
    <mergeCell ref="B45:H45"/>
    <mergeCell ref="B44:G44"/>
    <mergeCell ref="B40:G40"/>
    <mergeCell ref="B22:E22"/>
    <mergeCell ref="A31:G31"/>
    <mergeCell ref="B23:E23"/>
    <mergeCell ref="B41:G41"/>
    <mergeCell ref="F42:H42"/>
    <mergeCell ref="F22:H22"/>
    <mergeCell ref="B27:E27"/>
    <mergeCell ref="B29:E29"/>
    <mergeCell ref="F27:H27"/>
    <mergeCell ref="A1:K1"/>
    <mergeCell ref="B8:E8"/>
    <mergeCell ref="A2:K2"/>
    <mergeCell ref="A3:F3"/>
    <mergeCell ref="B7:E7"/>
    <mergeCell ref="F7:H7"/>
    <mergeCell ref="J5:K5"/>
    <mergeCell ref="D5:F5"/>
    <mergeCell ref="H3:K3"/>
    <mergeCell ref="F29:H29"/>
    <mergeCell ref="B30:C30"/>
    <mergeCell ref="G30:H30"/>
    <mergeCell ref="B13:E13"/>
    <mergeCell ref="B17:E17"/>
    <mergeCell ref="F12:H12"/>
    <mergeCell ref="B12:E12"/>
    <mergeCell ref="B18:E18"/>
    <mergeCell ref="F17:H17"/>
  </mergeCells>
  <printOptions/>
  <pageMargins left="0.3937007874015748" right="0.3937007874015748" top="0.3937007874015748" bottom="0.66" header="0" footer="0.39"/>
  <pageSetup horizontalDpi="200" verticalDpi="200" orientation="portrait" paperSize="9" r:id="rId3"/>
  <headerFooter alignWithMargins="0">
    <oddFooter>&amp;CUdarbejdet af Peter Ollendorff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/>
  <dimension ref="A1:O88"/>
  <sheetViews>
    <sheetView showZeros="0" showOutlineSymbols="0" zoomScalePageLayoutView="0" workbookViewId="0" topLeftCell="A1">
      <selection activeCell="D6" sqref="D6"/>
    </sheetView>
  </sheetViews>
  <sheetFormatPr defaultColWidth="9.140625" defaultRowHeight="12.75"/>
  <cols>
    <col min="1" max="1" width="57.421875" style="0" customWidth="1"/>
    <col min="2" max="2" width="10.8515625" style="0" customWidth="1"/>
    <col min="3" max="3" width="10.57421875" style="0" customWidth="1"/>
    <col min="5" max="5" width="21.57421875" style="0" customWidth="1"/>
    <col min="11" max="11" width="10.140625" style="0" bestFit="1" customWidth="1"/>
    <col min="12" max="12" width="11.140625" style="0" bestFit="1" customWidth="1"/>
    <col min="13" max="13" width="10.140625" style="0" bestFit="1" customWidth="1"/>
    <col min="14" max="14" width="9.140625" style="0" bestFit="1" customWidth="1"/>
    <col min="15" max="15" width="9.00390625" style="0" bestFit="1" customWidth="1"/>
  </cols>
  <sheetData>
    <row r="1" spans="1:3" ht="13.5" customHeight="1">
      <c r="A1" s="9" t="s">
        <v>6</v>
      </c>
      <c r="B1" s="10">
        <v>36616</v>
      </c>
      <c r="C1" s="10">
        <f>A77</f>
        <v>44105</v>
      </c>
    </row>
    <row r="2" spans="1:3" ht="13.5" customHeight="1">
      <c r="A2" s="9" t="s">
        <v>7</v>
      </c>
      <c r="B2" s="11">
        <v>1</v>
      </c>
      <c r="C2" s="61">
        <f>B77</f>
        <v>1.428511</v>
      </c>
    </row>
    <row r="3" spans="1:3" ht="13.5" customHeight="1">
      <c r="A3" s="13"/>
      <c r="B3" s="14"/>
      <c r="C3" s="14"/>
    </row>
    <row r="4" spans="1:3" ht="13.5" customHeight="1">
      <c r="A4" s="130" t="s">
        <v>71</v>
      </c>
      <c r="B4" s="14">
        <v>18.92</v>
      </c>
      <c r="C4" s="14">
        <f>$B4*$C$2</f>
        <v>27.027428120000003</v>
      </c>
    </row>
    <row r="5" spans="1:3" ht="13.5" customHeight="1">
      <c r="A5" s="109" t="s">
        <v>72</v>
      </c>
      <c r="B5" s="12">
        <v>25.84</v>
      </c>
      <c r="C5" s="14">
        <f aca="true" t="shared" si="0" ref="C5:C11">B5*$C$2</f>
        <v>36.91272424</v>
      </c>
    </row>
    <row r="6" spans="1:3" ht="13.5" customHeight="1">
      <c r="A6" s="13" t="s">
        <v>73</v>
      </c>
      <c r="B6" s="14">
        <v>15</v>
      </c>
      <c r="C6" s="14">
        <f t="shared" si="0"/>
        <v>21.427665</v>
      </c>
    </row>
    <row r="7" spans="1:3" ht="13.5" customHeight="1">
      <c r="A7" s="9" t="s">
        <v>74</v>
      </c>
      <c r="B7" s="12">
        <v>32.43</v>
      </c>
      <c r="C7" s="14">
        <f t="shared" si="0"/>
        <v>46.32661173</v>
      </c>
    </row>
    <row r="8" spans="1:15" ht="13.5" customHeight="1">
      <c r="A8" s="9" t="s">
        <v>75</v>
      </c>
      <c r="B8" s="12">
        <v>32.43</v>
      </c>
      <c r="C8" s="14">
        <f t="shared" si="0"/>
        <v>46.32661173</v>
      </c>
      <c r="E8" s="72"/>
      <c r="F8" s="72"/>
      <c r="G8" s="72"/>
      <c r="H8" s="327"/>
      <c r="I8" s="328"/>
      <c r="J8" s="327"/>
      <c r="K8" s="329"/>
      <c r="L8" s="325"/>
      <c r="M8" s="325"/>
      <c r="N8" s="325"/>
      <c r="O8" s="325"/>
    </row>
    <row r="9" spans="1:15" ht="13.5" customHeight="1">
      <c r="A9" s="9" t="s">
        <v>58</v>
      </c>
      <c r="B9" s="12">
        <v>1400</v>
      </c>
      <c r="C9" s="14">
        <f t="shared" si="0"/>
        <v>1999.9154</v>
      </c>
      <c r="E9" s="72"/>
      <c r="F9" s="72"/>
      <c r="G9" s="72"/>
      <c r="H9" s="327"/>
      <c r="I9" s="328"/>
      <c r="J9" s="327"/>
      <c r="K9" s="329"/>
      <c r="L9" s="326"/>
      <c r="M9" s="326"/>
      <c r="N9" s="326"/>
      <c r="O9" s="326"/>
    </row>
    <row r="10" spans="1:15" ht="13.5" customHeight="1">
      <c r="A10" s="9" t="s">
        <v>79</v>
      </c>
      <c r="B10" s="12">
        <v>15400</v>
      </c>
      <c r="C10" s="14">
        <f t="shared" si="0"/>
        <v>21999.0694</v>
      </c>
      <c r="E10" s="72"/>
      <c r="F10" s="72"/>
      <c r="G10" s="72"/>
      <c r="H10" s="115"/>
      <c r="I10" s="115"/>
      <c r="J10" s="115"/>
      <c r="K10" s="115"/>
      <c r="L10" s="167"/>
      <c r="M10" s="167"/>
      <c r="N10" s="167"/>
      <c r="O10" s="167"/>
    </row>
    <row r="11" spans="1:15" ht="13.5" customHeight="1">
      <c r="A11" s="15" t="s">
        <v>28</v>
      </c>
      <c r="B11" s="12">
        <v>4800</v>
      </c>
      <c r="C11" s="12">
        <f t="shared" si="0"/>
        <v>6856.852800000001</v>
      </c>
      <c r="E11" s="72"/>
      <c r="F11" s="113"/>
      <c r="G11" s="72"/>
      <c r="H11" s="114"/>
      <c r="I11" s="114"/>
      <c r="J11" s="114"/>
      <c r="K11" s="114"/>
      <c r="L11" s="168"/>
      <c r="M11" s="168"/>
      <c r="N11" s="168"/>
      <c r="O11" s="168"/>
    </row>
    <row r="12" spans="1:15" ht="13.5" customHeight="1">
      <c r="A12" s="15" t="s">
        <v>51</v>
      </c>
      <c r="B12" s="241" t="s">
        <v>52</v>
      </c>
      <c r="C12" s="12"/>
      <c r="E12" s="72"/>
      <c r="F12" s="113"/>
      <c r="G12" s="72"/>
      <c r="H12" s="114"/>
      <c r="I12" s="114"/>
      <c r="J12" s="114"/>
      <c r="K12" s="114"/>
      <c r="L12" s="168"/>
      <c r="M12" s="168"/>
      <c r="N12" s="168"/>
      <c r="O12" s="168"/>
    </row>
    <row r="13" spans="1:15" ht="13.5" customHeight="1">
      <c r="A13" s="97" t="s">
        <v>111</v>
      </c>
      <c r="B13" s="12">
        <v>14350</v>
      </c>
      <c r="C13" s="12">
        <f>B13*$C$2</f>
        <v>20499.13285</v>
      </c>
      <c r="E13" s="72"/>
      <c r="F13" s="72"/>
      <c r="G13" s="72"/>
      <c r="H13" s="72"/>
      <c r="I13" s="72"/>
      <c r="J13" s="114"/>
      <c r="K13" s="114"/>
      <c r="L13" s="168"/>
      <c r="M13" s="168"/>
      <c r="N13" s="168"/>
      <c r="O13" s="168"/>
    </row>
    <row r="14" spans="1:15" ht="13.5" customHeight="1">
      <c r="A14" s="15" t="s">
        <v>92</v>
      </c>
      <c r="B14" s="12">
        <v>13000</v>
      </c>
      <c r="C14" s="12">
        <f>B14*$C$2</f>
        <v>18570.643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3.5" customHeight="1">
      <c r="A15" s="9" t="s">
        <v>94</v>
      </c>
      <c r="B15" s="12">
        <f>10*90</f>
        <v>900</v>
      </c>
      <c r="C15" s="12">
        <f>B15*$C$2</f>
        <v>1285.6599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3.5" customHeight="1">
      <c r="A16" s="15" t="s">
        <v>95</v>
      </c>
      <c r="B16" s="12">
        <f>B14+B15</f>
        <v>13900</v>
      </c>
      <c r="C16" s="12">
        <f>B16*$C$2</f>
        <v>19856.302900000002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 customHeight="1">
      <c r="A17" s="15" t="s">
        <v>93</v>
      </c>
      <c r="B17" s="12">
        <v>5500</v>
      </c>
      <c r="C17" s="12">
        <f aca="true" t="shared" si="1" ref="C17:C36">B17*$C$2</f>
        <v>7856.8105000000005</v>
      </c>
      <c r="E17" s="72"/>
      <c r="F17" s="72"/>
      <c r="G17" s="72"/>
      <c r="H17" s="327"/>
      <c r="I17" s="328"/>
      <c r="J17" s="328"/>
      <c r="K17" s="328"/>
      <c r="L17" s="325"/>
      <c r="M17" s="325"/>
      <c r="N17" s="325"/>
      <c r="O17" s="325"/>
    </row>
    <row r="18" spans="1:15" ht="13.5" customHeight="1">
      <c r="A18" s="9" t="s">
        <v>94</v>
      </c>
      <c r="B18" s="12">
        <f>10*90</f>
        <v>900</v>
      </c>
      <c r="C18" s="12">
        <f>B18*$C$2</f>
        <v>1285.6599</v>
      </c>
      <c r="E18" s="72"/>
      <c r="F18" s="72"/>
      <c r="G18" s="72"/>
      <c r="H18" s="327"/>
      <c r="I18" s="328"/>
      <c r="J18" s="328"/>
      <c r="K18" s="328"/>
      <c r="L18" s="169"/>
      <c r="M18" s="169"/>
      <c r="N18" s="169"/>
      <c r="O18" s="169"/>
    </row>
    <row r="19" spans="1:15" ht="13.5" customHeight="1">
      <c r="A19" s="15" t="s">
        <v>96</v>
      </c>
      <c r="B19" s="12">
        <f>B17+B18</f>
        <v>6400</v>
      </c>
      <c r="C19" s="12">
        <f>B19*$C$2</f>
        <v>9142.4704</v>
      </c>
      <c r="E19" s="72"/>
      <c r="F19" s="72"/>
      <c r="G19" s="72"/>
      <c r="H19" s="327"/>
      <c r="I19" s="328"/>
      <c r="J19" s="328"/>
      <c r="K19" s="328"/>
      <c r="L19" s="169"/>
      <c r="M19" s="169"/>
      <c r="N19" s="169"/>
      <c r="O19" s="169"/>
    </row>
    <row r="20" spans="1:15" ht="13.5" customHeight="1">
      <c r="A20" s="15" t="s">
        <v>59</v>
      </c>
      <c r="B20" s="12">
        <v>15400</v>
      </c>
      <c r="C20" s="12">
        <f t="shared" si="1"/>
        <v>21999.0694</v>
      </c>
      <c r="E20" s="72"/>
      <c r="F20" s="72"/>
      <c r="G20" s="72"/>
      <c r="H20" s="327"/>
      <c r="I20" s="328"/>
      <c r="J20" s="328"/>
      <c r="K20" s="328"/>
      <c r="L20" s="326"/>
      <c r="M20" s="326"/>
      <c r="N20" s="326"/>
      <c r="O20" s="326"/>
    </row>
    <row r="21" spans="1:15" ht="13.5" customHeight="1">
      <c r="A21" s="15" t="s">
        <v>60</v>
      </c>
      <c r="B21" s="12">
        <v>15400</v>
      </c>
      <c r="C21" s="12">
        <f t="shared" si="1"/>
        <v>21999.0694</v>
      </c>
      <c r="E21" s="72"/>
      <c r="F21" s="72"/>
      <c r="G21" s="72"/>
      <c r="H21" s="115"/>
      <c r="I21" s="115"/>
      <c r="J21" s="115"/>
      <c r="K21" s="115"/>
      <c r="L21" s="167"/>
      <c r="M21" s="167"/>
      <c r="N21" s="167"/>
      <c r="O21" s="167"/>
    </row>
    <row r="22" spans="1:15" ht="13.5" customHeight="1">
      <c r="A22" s="9" t="s">
        <v>44</v>
      </c>
      <c r="B22" s="12">
        <v>3000</v>
      </c>
      <c r="C22" s="12">
        <f>B22*$C$2</f>
        <v>4285.533</v>
      </c>
      <c r="E22" s="72"/>
      <c r="F22" s="113"/>
      <c r="G22" s="72"/>
      <c r="H22" s="114"/>
      <c r="I22" s="114"/>
      <c r="J22" s="114"/>
      <c r="K22" s="114"/>
      <c r="L22" s="168"/>
      <c r="M22" s="168"/>
      <c r="N22" s="168"/>
      <c r="O22" s="168"/>
    </row>
    <row r="23" spans="1:15" ht="13.5" customHeight="1">
      <c r="A23" s="9" t="s">
        <v>45</v>
      </c>
      <c r="B23" s="12">
        <v>4000</v>
      </c>
      <c r="C23" s="12">
        <f t="shared" si="1"/>
        <v>5714.044000000001</v>
      </c>
      <c r="E23" s="72"/>
      <c r="F23" s="113"/>
      <c r="G23" s="72"/>
      <c r="H23" s="114"/>
      <c r="I23" s="114"/>
      <c r="J23" s="114"/>
      <c r="K23" s="114"/>
      <c r="L23" s="168"/>
      <c r="M23" s="168"/>
      <c r="N23" s="168"/>
      <c r="O23" s="168"/>
    </row>
    <row r="24" spans="1:15" ht="13.5" customHeight="1">
      <c r="A24" s="9" t="s">
        <v>46</v>
      </c>
      <c r="B24" s="12">
        <v>5000</v>
      </c>
      <c r="C24" s="12">
        <f t="shared" si="1"/>
        <v>7142.555</v>
      </c>
      <c r="E24" s="72"/>
      <c r="F24" s="72"/>
      <c r="G24" s="72"/>
      <c r="H24" s="72"/>
      <c r="I24" s="72"/>
      <c r="J24" s="114"/>
      <c r="K24" s="114"/>
      <c r="L24" s="168"/>
      <c r="M24" s="168"/>
      <c r="N24" s="168"/>
      <c r="O24" s="168"/>
    </row>
    <row r="25" spans="1:15" ht="13.5" customHeight="1">
      <c r="A25" s="9" t="s">
        <v>43</v>
      </c>
      <c r="B25" s="12">
        <v>7500</v>
      </c>
      <c r="C25" s="12">
        <f t="shared" si="1"/>
        <v>10713.8325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3" ht="13.5" customHeight="1">
      <c r="A26" s="9" t="s">
        <v>76</v>
      </c>
      <c r="B26" s="12">
        <v>8000</v>
      </c>
      <c r="C26" s="12">
        <f t="shared" si="1"/>
        <v>11428.088000000002</v>
      </c>
    </row>
    <row r="27" spans="1:3" ht="13.5" customHeight="1">
      <c r="A27" s="9" t="s">
        <v>77</v>
      </c>
      <c r="B27" s="12">
        <v>4000</v>
      </c>
      <c r="C27" s="12">
        <f t="shared" si="1"/>
        <v>5714.044000000001</v>
      </c>
    </row>
    <row r="28" spans="1:3" ht="13.5" customHeight="1">
      <c r="A28" s="9" t="s">
        <v>78</v>
      </c>
      <c r="B28" s="12">
        <v>6000</v>
      </c>
      <c r="C28" s="12">
        <f t="shared" si="1"/>
        <v>8571.066</v>
      </c>
    </row>
    <row r="29" spans="1:3" ht="13.5" customHeight="1">
      <c r="A29" s="9" t="s">
        <v>53</v>
      </c>
      <c r="B29" s="12">
        <v>10000</v>
      </c>
      <c r="C29" s="12">
        <f t="shared" si="1"/>
        <v>14285.11</v>
      </c>
    </row>
    <row r="30" spans="1:3" ht="13.5" customHeight="1">
      <c r="A30" s="9" t="s">
        <v>99</v>
      </c>
      <c r="B30" s="12">
        <v>2800</v>
      </c>
      <c r="C30" s="12"/>
    </row>
    <row r="31" spans="1:3" ht="13.5" customHeight="1">
      <c r="A31" s="9" t="s">
        <v>100</v>
      </c>
      <c r="B31" s="12">
        <v>3250</v>
      </c>
      <c r="C31" s="12"/>
    </row>
    <row r="32" spans="1:13" ht="13.5" customHeight="1">
      <c r="A32" s="9" t="s">
        <v>84</v>
      </c>
      <c r="B32" s="12">
        <f>B31-B30</f>
        <v>450</v>
      </c>
      <c r="C32" s="12"/>
      <c r="E32" s="66" t="s">
        <v>90</v>
      </c>
      <c r="M32" s="152"/>
    </row>
    <row r="33" spans="1:3" ht="13.5" customHeight="1">
      <c r="A33" s="9" t="s">
        <v>62</v>
      </c>
      <c r="B33" s="12">
        <v>90</v>
      </c>
      <c r="C33" s="12">
        <f t="shared" si="1"/>
        <v>128.56599</v>
      </c>
    </row>
    <row r="34" spans="1:3" ht="13.5" customHeight="1">
      <c r="A34" s="9" t="s">
        <v>63</v>
      </c>
      <c r="B34" s="12">
        <v>90</v>
      </c>
      <c r="C34" s="12">
        <f t="shared" si="1"/>
        <v>128.56599</v>
      </c>
    </row>
    <row r="35" spans="1:3" ht="13.5" customHeight="1">
      <c r="A35" s="9" t="s">
        <v>101</v>
      </c>
      <c r="B35" s="12">
        <v>26000</v>
      </c>
      <c r="C35" s="12">
        <f t="shared" si="1"/>
        <v>37141.286</v>
      </c>
    </row>
    <row r="36" spans="1:3" ht="13.5" customHeight="1">
      <c r="A36" s="15" t="s">
        <v>107</v>
      </c>
      <c r="B36" s="12">
        <v>34900</v>
      </c>
      <c r="C36" s="12">
        <f t="shared" si="1"/>
        <v>49855.0339</v>
      </c>
    </row>
    <row r="37" ht="13.5" customHeight="1">
      <c r="C37" s="12"/>
    </row>
    <row r="38" ht="13.5" customHeight="1" hidden="1">
      <c r="C38" s="12"/>
    </row>
    <row r="39" spans="1:3" ht="27" customHeight="1">
      <c r="A39" s="16" t="s">
        <v>6</v>
      </c>
      <c r="B39" s="17" t="s">
        <v>61</v>
      </c>
      <c r="C39" s="12"/>
    </row>
    <row r="40" spans="1:3" ht="13.5" customHeight="1">
      <c r="A40" s="105">
        <v>36616</v>
      </c>
      <c r="B40" s="18">
        <v>1</v>
      </c>
      <c r="C40" s="12"/>
    </row>
    <row r="41" spans="1:3" ht="13.5" customHeight="1">
      <c r="A41" s="105">
        <v>36617</v>
      </c>
      <c r="B41" s="18">
        <v>1.018559</v>
      </c>
      <c r="C41" s="12"/>
    </row>
    <row r="42" spans="1:3" ht="13.5" customHeight="1">
      <c r="A42" s="105">
        <v>36982</v>
      </c>
      <c r="B42" s="18">
        <v>1.040662</v>
      </c>
      <c r="C42" s="12"/>
    </row>
    <row r="43" spans="1:3" ht="13.5" customHeight="1">
      <c r="A43" s="105">
        <v>37165</v>
      </c>
      <c r="B43" s="18">
        <v>1.051157</v>
      </c>
      <c r="C43" s="12"/>
    </row>
    <row r="44" spans="1:3" ht="13.5" customHeight="1">
      <c r="A44" s="105">
        <v>37347</v>
      </c>
      <c r="B44" s="18">
        <v>1.061566</v>
      </c>
      <c r="C44" s="12"/>
    </row>
    <row r="45" spans="1:3" ht="13.5" customHeight="1">
      <c r="A45" s="105">
        <v>37712</v>
      </c>
      <c r="B45" s="18">
        <v>1.083422</v>
      </c>
      <c r="C45" s="12"/>
    </row>
    <row r="46" spans="1:3" ht="13.5" customHeight="1">
      <c r="A46" s="105">
        <v>37834</v>
      </c>
      <c r="B46" s="18">
        <v>1.08868</v>
      </c>
      <c r="C46" s="12"/>
    </row>
    <row r="47" spans="1:3" ht="13.5" customHeight="1">
      <c r="A47" s="105">
        <v>37895</v>
      </c>
      <c r="B47" s="18">
        <v>1.092675</v>
      </c>
      <c r="C47" s="12"/>
    </row>
    <row r="48" spans="1:3" ht="13.5" customHeight="1">
      <c r="A48" s="105">
        <v>38078</v>
      </c>
      <c r="B48" s="18">
        <v>1.109523</v>
      </c>
      <c r="C48" s="12"/>
    </row>
    <row r="49" spans="1:3" ht="13.5" customHeight="1">
      <c r="A49" s="105">
        <v>38200</v>
      </c>
      <c r="B49" s="18">
        <v>1.120038</v>
      </c>
      <c r="C49" s="12"/>
    </row>
    <row r="50" spans="1:3" ht="13.5" customHeight="1">
      <c r="A50" s="105">
        <v>38261</v>
      </c>
      <c r="B50" s="18">
        <v>1.124454</v>
      </c>
      <c r="C50" s="12"/>
    </row>
    <row r="51" spans="1:3" ht="13.5" customHeight="1">
      <c r="A51" s="105">
        <v>38718</v>
      </c>
      <c r="B51" s="34">
        <v>1.140138</v>
      </c>
      <c r="C51" s="12"/>
    </row>
    <row r="52" spans="1:3" ht="13.5" customHeight="1">
      <c r="A52" s="105">
        <v>38991</v>
      </c>
      <c r="B52" s="34">
        <v>1.151539</v>
      </c>
      <c r="C52" s="12"/>
    </row>
    <row r="53" spans="1:3" ht="13.5" customHeight="1">
      <c r="A53" s="105">
        <v>39173</v>
      </c>
      <c r="B53" s="34">
        <v>1.160535</v>
      </c>
      <c r="C53" s="12"/>
    </row>
    <row r="54" spans="1:3" ht="13.5" customHeight="1">
      <c r="A54" s="105">
        <v>39356</v>
      </c>
      <c r="B54" s="34">
        <v>1.165293</v>
      </c>
      <c r="C54" s="12"/>
    </row>
    <row r="55" spans="1:3" ht="13.5" customHeight="1">
      <c r="A55" s="105">
        <v>39539</v>
      </c>
      <c r="B55" s="34">
        <v>1.212953</v>
      </c>
      <c r="C55" s="12"/>
    </row>
    <row r="56" spans="1:3" ht="13.5" customHeight="1">
      <c r="A56" s="105">
        <v>39722</v>
      </c>
      <c r="B56" s="34">
        <v>1.230783</v>
      </c>
      <c r="C56" s="12"/>
    </row>
    <row r="57" spans="1:3" ht="13.5" customHeight="1">
      <c r="A57" s="105">
        <v>39904</v>
      </c>
      <c r="B57" s="34">
        <v>1.233114</v>
      </c>
      <c r="C57" s="12"/>
    </row>
    <row r="58" spans="1:3" ht="13.5" customHeight="1">
      <c r="A58" s="105">
        <v>40087</v>
      </c>
      <c r="B58" s="34">
        <v>1.246995</v>
      </c>
      <c r="C58" s="12"/>
    </row>
    <row r="59" spans="1:3" ht="13.5" customHeight="1">
      <c r="A59" s="105">
        <v>40269</v>
      </c>
      <c r="B59" s="34">
        <v>1.248812</v>
      </c>
      <c r="C59" s="12"/>
    </row>
    <row r="60" spans="1:3" ht="13.5" customHeight="1">
      <c r="A60" s="105">
        <v>40909</v>
      </c>
      <c r="B60" s="34">
        <v>1.268904</v>
      </c>
      <c r="C60" s="12"/>
    </row>
    <row r="61" spans="1:3" ht="13.5" customHeight="1">
      <c r="A61" s="105">
        <v>41183</v>
      </c>
      <c r="B61" s="34">
        <v>1.270735</v>
      </c>
      <c r="C61" s="12"/>
    </row>
    <row r="62" spans="1:3" ht="13.5" customHeight="1">
      <c r="A62" s="105">
        <v>41365</v>
      </c>
      <c r="B62" s="34">
        <v>1.277089</v>
      </c>
      <c r="C62" s="12"/>
    </row>
    <row r="63" spans="1:3" ht="13.5" customHeight="1">
      <c r="A63" s="105">
        <v>41548</v>
      </c>
      <c r="B63" s="34">
        <v>1.278546</v>
      </c>
      <c r="C63" s="12"/>
    </row>
    <row r="64" spans="1:3" ht="13.5" customHeight="1">
      <c r="A64" s="105">
        <v>41640</v>
      </c>
      <c r="B64" s="34">
        <v>1.2849</v>
      </c>
      <c r="C64" s="12"/>
    </row>
    <row r="65" spans="1:3" ht="13.5" customHeight="1">
      <c r="A65" s="105">
        <v>41913</v>
      </c>
      <c r="B65" s="34">
        <v>1.292955</v>
      </c>
      <c r="C65" s="12"/>
    </row>
    <row r="66" spans="1:3" ht="13.5" customHeight="1">
      <c r="A66" s="105">
        <v>42095</v>
      </c>
      <c r="B66" s="34">
        <v>1.305367</v>
      </c>
      <c r="C66" s="12"/>
    </row>
    <row r="67" spans="1:3" ht="13.5" customHeight="1">
      <c r="A67" s="105">
        <v>42278</v>
      </c>
      <c r="B67" s="34">
        <v>1.311333</v>
      </c>
      <c r="C67" s="12"/>
    </row>
    <row r="68" spans="1:3" ht="13.5" customHeight="1">
      <c r="A68" s="105">
        <v>42370</v>
      </c>
      <c r="B68" s="34">
        <v>1.317798</v>
      </c>
      <c r="C68" s="12"/>
    </row>
    <row r="69" spans="1:3" ht="13.5" customHeight="1">
      <c r="A69" s="202">
        <v>42644</v>
      </c>
      <c r="B69" s="34">
        <v>1.329131</v>
      </c>
      <c r="C69" s="12"/>
    </row>
    <row r="70" spans="1:3" ht="13.5" customHeight="1">
      <c r="A70" s="202">
        <v>42736</v>
      </c>
      <c r="B70" s="203">
        <v>1.344646</v>
      </c>
      <c r="C70" s="12"/>
    </row>
    <row r="71" spans="1:3" ht="12.75">
      <c r="A71" s="105">
        <v>43009</v>
      </c>
      <c r="B71" s="34">
        <v>1.34686</v>
      </c>
      <c r="C71" s="12"/>
    </row>
    <row r="72" spans="1:3" ht="12.75">
      <c r="A72" s="105">
        <v>43191</v>
      </c>
      <c r="B72" s="34">
        <v>1.361675</v>
      </c>
      <c r="C72" s="12"/>
    </row>
    <row r="73" spans="1:3" ht="12.75">
      <c r="A73" s="105">
        <v>43374</v>
      </c>
      <c r="B73" s="34">
        <v>1.377253</v>
      </c>
      <c r="C73" s="12"/>
    </row>
    <row r="74" spans="1:3" ht="12.75">
      <c r="A74" s="105">
        <v>43739</v>
      </c>
      <c r="B74" s="34">
        <v>1.390861</v>
      </c>
      <c r="C74" s="12"/>
    </row>
    <row r="75" spans="1:3" ht="12.75">
      <c r="A75" s="105">
        <v>43831</v>
      </c>
      <c r="B75" s="34">
        <v>1.412411</v>
      </c>
      <c r="C75" s="12"/>
    </row>
    <row r="76" spans="1:3" ht="12.75">
      <c r="A76" s="105">
        <v>43922</v>
      </c>
      <c r="B76" s="255">
        <v>1.417798</v>
      </c>
      <c r="C76" s="12"/>
    </row>
    <row r="77" spans="1:3" ht="12.75">
      <c r="A77" s="105">
        <v>44105</v>
      </c>
      <c r="B77" s="34">
        <v>1.428511</v>
      </c>
      <c r="C77" s="12"/>
    </row>
    <row r="78" spans="2:3" ht="12.75">
      <c r="B78" s="12"/>
      <c r="C78" s="12"/>
    </row>
    <row r="79" spans="2:3" ht="12.75">
      <c r="B79" s="12"/>
      <c r="C79" s="12"/>
    </row>
    <row r="80" spans="2:3" ht="12.75">
      <c r="B80" s="12"/>
      <c r="C80" s="12"/>
    </row>
    <row r="81" spans="2:3" ht="12.75">
      <c r="B81" s="12"/>
      <c r="C81" s="12"/>
    </row>
    <row r="82" spans="2:3" ht="12.75">
      <c r="B82" s="12"/>
      <c r="C82" s="12"/>
    </row>
    <row r="83" spans="2:3" ht="12.75">
      <c r="B83" s="12"/>
      <c r="C83" s="12"/>
    </row>
    <row r="84" spans="2:3" ht="12.75">
      <c r="B84" s="12"/>
      <c r="C84" s="12"/>
    </row>
    <row r="85" spans="2:3" ht="12.75">
      <c r="B85" s="12"/>
      <c r="C85" s="12"/>
    </row>
    <row r="86" spans="2:3" ht="12.75">
      <c r="B86" s="12"/>
      <c r="C86" s="12"/>
    </row>
    <row r="87" spans="2:3" ht="12.75">
      <c r="B87" s="12"/>
      <c r="C87" s="12"/>
    </row>
    <row r="88" spans="2:3" ht="12.75">
      <c r="B88" s="12"/>
      <c r="C88" s="12"/>
    </row>
  </sheetData>
  <sheetProtection/>
  <mergeCells count="16">
    <mergeCell ref="J8:J9"/>
    <mergeCell ref="H8:H9"/>
    <mergeCell ref="I8:I9"/>
    <mergeCell ref="K8:K9"/>
    <mergeCell ref="H17:H20"/>
    <mergeCell ref="I17:I20"/>
    <mergeCell ref="J17:J20"/>
    <mergeCell ref="K17:K20"/>
    <mergeCell ref="L8:M8"/>
    <mergeCell ref="L9:M9"/>
    <mergeCell ref="L17:M17"/>
    <mergeCell ref="L20:M20"/>
    <mergeCell ref="N8:O8"/>
    <mergeCell ref="N9:O9"/>
    <mergeCell ref="N17:O17"/>
    <mergeCell ref="N20:O20"/>
  </mergeCells>
  <printOptions headings="1"/>
  <pageMargins left="1.44" right="0.7874015748031497" top="0.984251968503937" bottom="1.05" header="0.17" footer="0.48"/>
  <pageSetup horizontalDpi="600" verticalDpi="600" orientation="portrait" paperSize="9" r:id="rId1"/>
  <headerFooter alignWithMargins="0">
    <oddFooter>&amp;CUdarbejdet af Peter Ollendorff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/>
  <dimension ref="A1:X42"/>
  <sheetViews>
    <sheetView showZeros="0" showOutlineSymbols="0" zoomScalePageLayoutView="0" workbookViewId="0" topLeftCell="A1">
      <selection activeCell="L7" sqref="L7"/>
    </sheetView>
  </sheetViews>
  <sheetFormatPr defaultColWidth="9.140625" defaultRowHeight="12.75"/>
  <cols>
    <col min="2" max="2" width="11.140625" style="0" customWidth="1"/>
    <col min="3" max="3" width="1.8515625" style="0" customWidth="1"/>
    <col min="4" max="4" width="14.421875" style="0" customWidth="1"/>
    <col min="5" max="5" width="13.57421875" style="0" customWidth="1"/>
    <col min="6" max="6" width="13.00390625" style="0" customWidth="1"/>
    <col min="7" max="7" width="16.421875" style="0" customWidth="1"/>
    <col min="8" max="8" width="12.8515625" style="0" customWidth="1"/>
    <col min="9" max="9" width="14.7109375" style="0" customWidth="1"/>
    <col min="10" max="10" width="14.00390625" style="0" customWidth="1"/>
    <col min="11" max="11" width="11.8515625" style="0" bestFit="1" customWidth="1"/>
    <col min="12" max="12" width="12.421875" style="0" bestFit="1" customWidth="1"/>
    <col min="13" max="13" width="10.8515625" style="0" customWidth="1"/>
    <col min="14" max="14" width="11.00390625" style="0" customWidth="1"/>
  </cols>
  <sheetData>
    <row r="1" spans="1:11" ht="29.25" customHeight="1">
      <c r="A1" s="330" t="s">
        <v>54</v>
      </c>
      <c r="B1" s="331"/>
      <c r="C1" s="331"/>
      <c r="D1" s="331"/>
      <c r="K1" s="96"/>
    </row>
    <row r="2" spans="1:9" ht="41.25" customHeight="1" thickBot="1">
      <c r="A2" s="35" t="s">
        <v>8</v>
      </c>
      <c r="B2" s="63" t="s">
        <v>119</v>
      </c>
      <c r="C2" s="35"/>
      <c r="D2" s="332" t="s">
        <v>16</v>
      </c>
      <c r="E2" s="333"/>
      <c r="F2" s="333"/>
      <c r="G2" s="333"/>
      <c r="H2" s="333"/>
      <c r="I2" s="333"/>
    </row>
    <row r="3" spans="1:9" ht="16.5" customHeight="1">
      <c r="A3" s="79" t="s">
        <v>8</v>
      </c>
      <c r="B3" s="79" t="s">
        <v>17</v>
      </c>
      <c r="C3" s="80"/>
      <c r="D3" s="170" t="s">
        <v>24</v>
      </c>
      <c r="E3" s="171" t="s">
        <v>23</v>
      </c>
      <c r="F3" s="186"/>
      <c r="G3" s="182" t="s">
        <v>25</v>
      </c>
      <c r="H3" s="171" t="s">
        <v>23</v>
      </c>
      <c r="I3" s="172"/>
    </row>
    <row r="4" spans="1:24" ht="15" customHeight="1">
      <c r="A4" s="66"/>
      <c r="B4" s="81"/>
      <c r="C4" s="68"/>
      <c r="D4" s="173"/>
      <c r="E4" s="91">
        <f>Ark2!C2</f>
        <v>1.428511</v>
      </c>
      <c r="F4" s="187"/>
      <c r="G4" s="62"/>
      <c r="H4" s="91">
        <f>Ark2!C2</f>
        <v>1.428511</v>
      </c>
      <c r="I4" s="174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</row>
    <row r="5" spans="1:24" ht="15" customHeight="1">
      <c r="A5" s="208">
        <v>26</v>
      </c>
      <c r="B5" s="252">
        <v>314362</v>
      </c>
      <c r="C5" s="68"/>
      <c r="D5" s="173"/>
      <c r="E5" s="62"/>
      <c r="F5" s="187"/>
      <c r="G5" s="62"/>
      <c r="H5" s="62"/>
      <c r="I5" s="175"/>
      <c r="J5" s="37"/>
      <c r="K5" s="155"/>
      <c r="L5" s="156"/>
      <c r="M5" s="154"/>
      <c r="N5" s="37"/>
      <c r="O5" s="36"/>
      <c r="P5" s="37"/>
      <c r="Q5" s="36"/>
      <c r="R5" s="37"/>
      <c r="S5" s="36"/>
      <c r="T5" s="37"/>
      <c r="U5" s="36"/>
      <c r="V5" s="37"/>
      <c r="W5" s="36"/>
      <c r="X5" s="37"/>
    </row>
    <row r="6" spans="1:24" ht="15" customHeight="1">
      <c r="A6" s="208">
        <v>27</v>
      </c>
      <c r="B6" s="252">
        <v>319545</v>
      </c>
      <c r="C6" s="68"/>
      <c r="D6" s="176"/>
      <c r="E6" s="72"/>
      <c r="F6" s="177"/>
      <c r="G6" s="62"/>
      <c r="H6" s="62"/>
      <c r="I6" s="175"/>
      <c r="J6" s="37"/>
      <c r="K6" s="155"/>
      <c r="L6" s="156"/>
      <c r="M6" s="154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</row>
    <row r="7" spans="1:24" ht="15" customHeight="1">
      <c r="A7" s="208">
        <v>28</v>
      </c>
      <c r="B7" s="252">
        <v>324842</v>
      </c>
      <c r="C7" s="68"/>
      <c r="D7" s="179">
        <v>2000</v>
      </c>
      <c r="E7" s="92">
        <f>D7*E4</f>
        <v>2857.0220000000004</v>
      </c>
      <c r="F7" s="188">
        <f>B7+E7</f>
        <v>327699.022</v>
      </c>
      <c r="G7" s="62"/>
      <c r="H7" s="62"/>
      <c r="I7" s="175"/>
      <c r="J7" s="37"/>
      <c r="K7" s="155"/>
      <c r="L7" s="156"/>
      <c r="M7" s="154"/>
      <c r="N7" s="37"/>
      <c r="O7" s="36"/>
      <c r="P7" s="37"/>
      <c r="Q7" s="36"/>
      <c r="R7" s="37"/>
      <c r="S7" s="36"/>
      <c r="T7" s="37"/>
      <c r="U7" s="36"/>
      <c r="V7" s="37"/>
      <c r="W7" s="36"/>
      <c r="X7" s="37"/>
    </row>
    <row r="8" spans="1:24" ht="15" customHeight="1">
      <c r="A8" s="208">
        <v>29</v>
      </c>
      <c r="B8" s="252">
        <v>330259</v>
      </c>
      <c r="C8" s="68"/>
      <c r="D8" s="173"/>
      <c r="E8" s="62"/>
      <c r="F8" s="189"/>
      <c r="G8" s="62"/>
      <c r="H8" s="62"/>
      <c r="I8" s="175"/>
      <c r="J8" s="37"/>
      <c r="K8" s="155"/>
      <c r="L8" s="156"/>
      <c r="M8" s="154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</row>
    <row r="9" spans="1:24" ht="15" customHeight="1">
      <c r="A9" s="209">
        <v>30</v>
      </c>
      <c r="B9" s="253">
        <v>335793</v>
      </c>
      <c r="C9" s="82"/>
      <c r="D9" s="176"/>
      <c r="E9" s="72"/>
      <c r="F9" s="177"/>
      <c r="G9" s="72"/>
      <c r="H9" s="72"/>
      <c r="I9" s="177"/>
      <c r="J9" s="38"/>
      <c r="K9" s="155"/>
      <c r="L9" s="156"/>
      <c r="M9" s="154"/>
      <c r="N9" s="38"/>
      <c r="O9" s="36"/>
      <c r="P9" s="38"/>
      <c r="Q9" s="36"/>
      <c r="R9" s="38"/>
      <c r="S9" s="36"/>
      <c r="T9" s="38"/>
      <c r="U9" s="36"/>
      <c r="V9" s="38"/>
      <c r="W9" s="36"/>
      <c r="X9" s="38"/>
    </row>
    <row r="10" spans="1:24" ht="15" customHeight="1">
      <c r="A10" s="208">
        <v>31</v>
      </c>
      <c r="B10" s="252">
        <v>341453</v>
      </c>
      <c r="C10" s="68"/>
      <c r="D10" s="178">
        <v>2000</v>
      </c>
      <c r="E10" s="92">
        <f>D10*E4</f>
        <v>2857.0220000000004</v>
      </c>
      <c r="F10" s="188">
        <f>B10+E10</f>
        <v>344310.022</v>
      </c>
      <c r="G10" s="183">
        <v>3000</v>
      </c>
      <c r="H10" s="93">
        <f>G10*H4</f>
        <v>4285.533</v>
      </c>
      <c r="I10" s="175">
        <f>B10+H10</f>
        <v>345738.533</v>
      </c>
      <c r="J10" s="200">
        <f>I10/12</f>
        <v>28811.544416666668</v>
      </c>
      <c r="K10" s="155"/>
      <c r="L10" s="156"/>
      <c r="M10" s="154"/>
      <c r="N10" s="38"/>
      <c r="O10" s="36"/>
      <c r="P10" s="38"/>
      <c r="Q10" s="36"/>
      <c r="R10" s="38"/>
      <c r="S10" s="36"/>
      <c r="T10" s="38"/>
      <c r="U10" s="36"/>
      <c r="V10" s="38"/>
      <c r="W10" s="36"/>
      <c r="X10" s="38"/>
    </row>
    <row r="11" spans="1:24" ht="15" customHeight="1">
      <c r="A11" s="208">
        <v>32</v>
      </c>
      <c r="B11" s="252">
        <v>347238</v>
      </c>
      <c r="C11" s="68"/>
      <c r="D11" s="176"/>
      <c r="E11" s="72"/>
      <c r="F11" s="177"/>
      <c r="G11" s="62"/>
      <c r="H11" s="62"/>
      <c r="I11" s="175"/>
      <c r="J11" s="201">
        <f>(G10*H4)/12</f>
        <v>357.12775000000005</v>
      </c>
      <c r="K11" s="155"/>
      <c r="L11" s="156"/>
      <c r="M11" s="154"/>
      <c r="N11" s="37"/>
      <c r="O11" s="36"/>
      <c r="P11" s="37"/>
      <c r="Q11" s="36"/>
      <c r="R11" s="37"/>
      <c r="S11" s="36"/>
      <c r="T11" s="37"/>
      <c r="U11" s="36"/>
      <c r="V11" s="37"/>
      <c r="W11" s="36"/>
      <c r="X11" s="37"/>
    </row>
    <row r="12" spans="1:24" ht="15" customHeight="1">
      <c r="A12" s="208">
        <v>33</v>
      </c>
      <c r="B12" s="252">
        <v>353149</v>
      </c>
      <c r="C12" s="68"/>
      <c r="D12" s="178"/>
      <c r="E12" s="93"/>
      <c r="F12" s="190"/>
      <c r="G12" s="62"/>
      <c r="H12" s="62"/>
      <c r="I12" s="175"/>
      <c r="J12" s="37"/>
      <c r="K12" s="155"/>
      <c r="L12" s="156"/>
      <c r="M12" s="154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</row>
    <row r="13" spans="1:24" ht="15" customHeight="1">
      <c r="A13" s="208">
        <v>34</v>
      </c>
      <c r="B13" s="252">
        <v>359198</v>
      </c>
      <c r="C13" s="68"/>
      <c r="D13" s="191"/>
      <c r="E13" s="94"/>
      <c r="F13" s="190"/>
      <c r="G13" s="72"/>
      <c r="H13" s="72"/>
      <c r="I13" s="177"/>
      <c r="J13" s="37"/>
      <c r="K13" s="155"/>
      <c r="L13" s="156"/>
      <c r="M13" s="154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</row>
    <row r="14" spans="1:24" ht="15" customHeight="1">
      <c r="A14" s="209">
        <v>35</v>
      </c>
      <c r="B14" s="253">
        <v>365373</v>
      </c>
      <c r="C14" s="82"/>
      <c r="D14" s="192">
        <v>0</v>
      </c>
      <c r="E14" s="95"/>
      <c r="F14" s="177"/>
      <c r="G14" s="183">
        <v>3000</v>
      </c>
      <c r="H14" s="92">
        <f>G14*H4</f>
        <v>4285.533</v>
      </c>
      <c r="I14" s="175">
        <f>B14+H14</f>
        <v>369658.533</v>
      </c>
      <c r="J14" s="37"/>
      <c r="K14" s="155"/>
      <c r="L14" s="156"/>
      <c r="M14" s="157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</row>
    <row r="15" spans="1:24" ht="15" customHeight="1">
      <c r="A15" s="208">
        <v>36</v>
      </c>
      <c r="B15" s="252">
        <v>371690</v>
      </c>
      <c r="C15" s="68"/>
      <c r="D15" s="178">
        <v>6073</v>
      </c>
      <c r="E15" s="94">
        <f>D15*E4</f>
        <v>8675.347303</v>
      </c>
      <c r="F15" s="190">
        <f>B15+E15</f>
        <v>380365.347303</v>
      </c>
      <c r="G15" s="62"/>
      <c r="H15" s="62"/>
      <c r="I15" s="175"/>
      <c r="J15" s="38"/>
      <c r="K15" s="155"/>
      <c r="L15" s="156"/>
      <c r="M15" s="158"/>
      <c r="N15" s="38"/>
      <c r="O15" s="36"/>
      <c r="P15" s="38"/>
      <c r="Q15" s="36"/>
      <c r="R15" s="38"/>
      <c r="S15" s="36"/>
      <c r="T15" s="38"/>
      <c r="U15" s="36"/>
      <c r="V15" s="38"/>
      <c r="W15" s="36"/>
      <c r="X15" s="38"/>
    </row>
    <row r="16" spans="1:24" ht="15" customHeight="1">
      <c r="A16" s="208">
        <v>37</v>
      </c>
      <c r="B16" s="252">
        <v>378144</v>
      </c>
      <c r="C16" s="68"/>
      <c r="D16" s="191"/>
      <c r="E16" s="94"/>
      <c r="F16" s="190">
        <f>B16</f>
        <v>378144</v>
      </c>
      <c r="G16" s="62"/>
      <c r="H16" s="62"/>
      <c r="I16" s="175"/>
      <c r="J16" s="37"/>
      <c r="K16" s="155"/>
      <c r="L16" s="156"/>
      <c r="M16" s="158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</row>
    <row r="17" spans="1:24" ht="15" customHeight="1">
      <c r="A17" s="208">
        <v>38</v>
      </c>
      <c r="B17" s="252">
        <v>384995</v>
      </c>
      <c r="C17" s="68"/>
      <c r="D17" s="191"/>
      <c r="E17" s="94"/>
      <c r="F17" s="190"/>
      <c r="G17" s="62"/>
      <c r="H17" s="62"/>
      <c r="I17" s="175"/>
      <c r="J17" s="37"/>
      <c r="K17" s="155"/>
      <c r="L17" s="156"/>
      <c r="M17" s="158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</row>
    <row r="18" spans="1:24" ht="15" customHeight="1">
      <c r="A18" s="208">
        <v>39</v>
      </c>
      <c r="B18" s="252">
        <v>391873</v>
      </c>
      <c r="C18" s="68"/>
      <c r="D18" s="191"/>
      <c r="E18" s="94"/>
      <c r="F18" s="190"/>
      <c r="G18" s="72"/>
      <c r="H18" s="72"/>
      <c r="I18" s="177"/>
      <c r="J18" s="37"/>
      <c r="K18" s="155"/>
      <c r="L18" s="156"/>
      <c r="M18" s="158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</row>
    <row r="19" spans="1:24" ht="15" customHeight="1">
      <c r="A19" s="209">
        <v>40</v>
      </c>
      <c r="B19" s="253">
        <v>398907</v>
      </c>
      <c r="C19" s="82"/>
      <c r="D19" s="192"/>
      <c r="E19" s="95"/>
      <c r="F19" s="193"/>
      <c r="G19" s="184">
        <v>10000</v>
      </c>
      <c r="H19" s="92">
        <f>G19*H4</f>
        <v>14285.11</v>
      </c>
      <c r="I19" s="175">
        <f>B19+H19</f>
        <v>413192.11</v>
      </c>
      <c r="J19" s="37"/>
      <c r="K19" s="155"/>
      <c r="L19" s="156"/>
      <c r="M19" s="158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</row>
    <row r="20" spans="1:24" ht="15" customHeight="1">
      <c r="A20" s="210">
        <v>41</v>
      </c>
      <c r="B20" s="252">
        <v>406094</v>
      </c>
      <c r="C20" s="68"/>
      <c r="D20" s="191"/>
      <c r="E20" s="94"/>
      <c r="F20" s="190"/>
      <c r="G20" s="62"/>
      <c r="H20" s="62"/>
      <c r="I20" s="175"/>
      <c r="J20" s="38"/>
      <c r="K20" s="155"/>
      <c r="L20" s="156"/>
      <c r="M20" s="158"/>
      <c r="N20" s="38"/>
      <c r="O20" s="36"/>
      <c r="P20" s="38"/>
      <c r="Q20" s="36"/>
      <c r="R20" s="38"/>
      <c r="S20" s="36"/>
      <c r="T20" s="38"/>
      <c r="U20" s="36"/>
      <c r="V20" s="38"/>
      <c r="W20" s="36"/>
      <c r="X20" s="38"/>
    </row>
    <row r="21" spans="1:24" ht="15" customHeight="1">
      <c r="A21" s="208">
        <v>42</v>
      </c>
      <c r="B21" s="252">
        <v>413437</v>
      </c>
      <c r="C21" s="68"/>
      <c r="D21" s="191"/>
      <c r="E21" s="94"/>
      <c r="F21" s="190"/>
      <c r="G21" s="72"/>
      <c r="H21" s="72"/>
      <c r="I21" s="177"/>
      <c r="J21" s="37"/>
      <c r="K21" s="155"/>
      <c r="L21" s="156"/>
      <c r="M21" s="158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</row>
    <row r="22" spans="1:24" ht="15" customHeight="1" thickBot="1">
      <c r="A22" s="208">
        <v>43</v>
      </c>
      <c r="B22" s="252">
        <v>422625</v>
      </c>
      <c r="C22" s="68"/>
      <c r="D22" s="194"/>
      <c r="E22" s="195"/>
      <c r="F22" s="196"/>
      <c r="G22" s="185">
        <v>13000</v>
      </c>
      <c r="H22" s="180">
        <f>G22*H4</f>
        <v>18570.643</v>
      </c>
      <c r="I22" s="181">
        <f>B22+H22</f>
        <v>441195.643</v>
      </c>
      <c r="J22" s="37"/>
      <c r="K22" s="155"/>
      <c r="L22" s="156"/>
      <c r="M22" s="158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</row>
    <row r="23" spans="1:24" ht="15" customHeight="1" thickBot="1">
      <c r="A23" s="208">
        <v>44</v>
      </c>
      <c r="B23" s="252">
        <v>432067</v>
      </c>
      <c r="C23" s="68"/>
      <c r="D23" s="68"/>
      <c r="E23" s="68"/>
      <c r="F23" s="68"/>
      <c r="G23" s="66"/>
      <c r="H23" s="66"/>
      <c r="I23" s="65"/>
      <c r="J23" s="231" t="s">
        <v>108</v>
      </c>
      <c r="K23" s="232">
        <f>B23</f>
        <v>432067</v>
      </c>
      <c r="L23" s="233">
        <v>7000</v>
      </c>
      <c r="M23" s="234">
        <f>L23*$H$4</f>
        <v>9999.577000000001</v>
      </c>
      <c r="N23" s="235">
        <f>K23+M23</f>
        <v>442066.577</v>
      </c>
      <c r="O23" s="36"/>
      <c r="P23" s="37"/>
      <c r="Q23" s="36"/>
      <c r="R23" s="37"/>
      <c r="S23" s="36"/>
      <c r="T23" s="37"/>
      <c r="U23" s="36"/>
      <c r="V23" s="37"/>
      <c r="W23" s="36"/>
      <c r="X23" s="37"/>
    </row>
    <row r="24" spans="1:24" ht="15" customHeight="1" thickBot="1">
      <c r="A24" s="209">
        <v>45</v>
      </c>
      <c r="B24" s="253">
        <v>441768</v>
      </c>
      <c r="C24" s="82"/>
      <c r="D24" s="222">
        <f>B24</f>
        <v>441768</v>
      </c>
      <c r="E24" s="223">
        <f>12000</f>
        <v>12000</v>
      </c>
      <c r="F24" s="223">
        <f>E24*H4</f>
        <v>17142.132</v>
      </c>
      <c r="G24" s="224">
        <f>D24+F24</f>
        <v>458910.132</v>
      </c>
      <c r="H24" s="225">
        <f>G24/12</f>
        <v>38242.511</v>
      </c>
      <c r="I24" s="230" t="s">
        <v>103</v>
      </c>
      <c r="J24" s="236" t="s">
        <v>106</v>
      </c>
      <c r="K24" s="237"/>
      <c r="L24" s="238">
        <v>6500</v>
      </c>
      <c r="M24" s="239">
        <f>L24*$H$4</f>
        <v>9285.3215</v>
      </c>
      <c r="N24" s="240">
        <f>N23+M24</f>
        <v>451351.8985</v>
      </c>
      <c r="O24" s="36"/>
      <c r="P24" s="37"/>
      <c r="Q24" s="36"/>
      <c r="R24" s="37"/>
      <c r="S24" s="36"/>
      <c r="T24" s="37"/>
      <c r="U24" s="36"/>
      <c r="V24" s="37"/>
      <c r="W24" s="36"/>
      <c r="X24" s="37"/>
    </row>
    <row r="25" spans="1:24" ht="15" customHeight="1" thickBot="1">
      <c r="A25" s="208">
        <v>46</v>
      </c>
      <c r="B25" s="252">
        <v>451737</v>
      </c>
      <c r="C25" s="94"/>
      <c r="D25" s="194"/>
      <c r="E25" s="195">
        <v>6500</v>
      </c>
      <c r="F25" s="195">
        <f>E25*H4</f>
        <v>9285.3215</v>
      </c>
      <c r="G25" s="226">
        <f>G24+F25</f>
        <v>468195.4535</v>
      </c>
      <c r="H25" s="227">
        <f>G25/12</f>
        <v>39016.28779166667</v>
      </c>
      <c r="I25" s="229" t="s">
        <v>106</v>
      </c>
      <c r="J25" s="38"/>
      <c r="K25" s="155"/>
      <c r="L25" s="156"/>
      <c r="M25" s="158"/>
      <c r="N25" s="38"/>
      <c r="O25" s="36"/>
      <c r="P25" s="38"/>
      <c r="Q25" s="36"/>
      <c r="R25" s="38"/>
      <c r="S25" s="36"/>
      <c r="T25" s="38"/>
      <c r="U25" s="36"/>
      <c r="V25" s="38"/>
      <c r="W25" s="36"/>
      <c r="X25" s="38"/>
    </row>
    <row r="26" spans="1:24" ht="15" customHeight="1">
      <c r="A26" s="208">
        <v>47</v>
      </c>
      <c r="B26" s="252">
        <v>459778</v>
      </c>
      <c r="C26" s="94"/>
      <c r="D26" s="68"/>
      <c r="E26" s="68"/>
      <c r="F26" s="68"/>
      <c r="G26" s="66"/>
      <c r="H26" s="66"/>
      <c r="I26" s="65"/>
      <c r="J26" s="243" t="s">
        <v>112</v>
      </c>
      <c r="K26" s="242">
        <v>34900</v>
      </c>
      <c r="L26" s="158">
        <f>K26*$H$4</f>
        <v>49855.0339</v>
      </c>
      <c r="M26" s="244" t="s">
        <v>113</v>
      </c>
      <c r="N26" s="246">
        <f>N23+L26</f>
        <v>491921.61089999997</v>
      </c>
      <c r="O26" s="36"/>
      <c r="P26" s="37"/>
      <c r="Q26" s="36"/>
      <c r="R26" s="37"/>
      <c r="S26" s="36"/>
      <c r="T26" s="37"/>
      <c r="U26" s="36"/>
      <c r="V26" s="37"/>
      <c r="W26" s="36"/>
      <c r="X26" s="37"/>
    </row>
    <row r="27" spans="1:24" ht="15" customHeight="1">
      <c r="A27" s="208">
        <v>48</v>
      </c>
      <c r="B27" s="252">
        <v>480913</v>
      </c>
      <c r="C27" s="94"/>
      <c r="D27" s="68"/>
      <c r="E27" s="68"/>
      <c r="F27" s="68"/>
      <c r="G27" s="66"/>
      <c r="H27" s="66"/>
      <c r="I27" s="65"/>
      <c r="J27" s="37"/>
      <c r="K27" s="155"/>
      <c r="L27" s="156"/>
      <c r="M27" s="245" t="s">
        <v>114</v>
      </c>
      <c r="N27" s="246">
        <f>N24+L26</f>
        <v>501206.9324</v>
      </c>
      <c r="O27" s="36"/>
      <c r="P27" s="37"/>
      <c r="Q27" s="36"/>
      <c r="R27" s="37"/>
      <c r="S27" s="36"/>
      <c r="T27" s="37"/>
      <c r="U27" s="36"/>
      <c r="V27" s="37"/>
      <c r="W27" s="36"/>
      <c r="X27" s="37"/>
    </row>
    <row r="28" spans="1:24" ht="15" customHeight="1">
      <c r="A28" s="208">
        <v>49</v>
      </c>
      <c r="B28" s="252">
        <v>513187</v>
      </c>
      <c r="C28" s="94"/>
      <c r="D28" s="68"/>
      <c r="E28" s="68"/>
      <c r="F28" s="68"/>
      <c r="G28" s="66"/>
      <c r="H28" s="66"/>
      <c r="I28" s="65"/>
      <c r="J28" s="37"/>
      <c r="K28" s="155"/>
      <c r="L28" s="156"/>
      <c r="M28" s="158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</row>
    <row r="29" spans="1:24" ht="15" customHeight="1">
      <c r="A29" s="209">
        <v>50</v>
      </c>
      <c r="B29" s="253">
        <v>549011</v>
      </c>
      <c r="C29" s="95"/>
      <c r="D29" s="82"/>
      <c r="E29" s="82"/>
      <c r="F29" s="82" t="s">
        <v>117</v>
      </c>
      <c r="G29" s="250" t="s">
        <v>118</v>
      </c>
      <c r="H29" s="66"/>
      <c r="I29" s="65"/>
      <c r="J29" s="37"/>
      <c r="K29" s="155"/>
      <c r="L29" s="156"/>
      <c r="M29" s="158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</row>
    <row r="30" spans="1:24" s="72" customFormat="1" ht="15" customHeight="1">
      <c r="A30" s="69"/>
      <c r="B30" s="70"/>
      <c r="C30" s="71"/>
      <c r="D30" s="71"/>
      <c r="E30" s="71"/>
      <c r="F30" s="247">
        <v>0.15</v>
      </c>
      <c r="G30" s="251" t="s">
        <v>116</v>
      </c>
      <c r="I30" s="65"/>
      <c r="J30" s="73"/>
      <c r="K30" s="74"/>
      <c r="L30" s="73"/>
      <c r="M30" s="74"/>
      <c r="N30" s="73"/>
      <c r="O30" s="74"/>
      <c r="P30" s="73"/>
      <c r="Q30" s="74"/>
      <c r="R30" s="73"/>
      <c r="S30" s="74"/>
      <c r="T30" s="73"/>
      <c r="U30" s="74"/>
      <c r="V30" s="73"/>
      <c r="W30" s="74"/>
      <c r="X30" s="73"/>
    </row>
    <row r="31" spans="1:24" s="72" customFormat="1" ht="16.5" customHeight="1">
      <c r="A31" s="64"/>
      <c r="B31" s="64"/>
      <c r="C31" s="64"/>
      <c r="D31" s="64" t="s">
        <v>115</v>
      </c>
      <c r="E31" s="248">
        <f>B22</f>
        <v>422625</v>
      </c>
      <c r="F31" s="247">
        <f>E31*F30/12</f>
        <v>5282.8125</v>
      </c>
      <c r="G31" s="249">
        <f>F31*3</f>
        <v>15848.4375</v>
      </c>
      <c r="I31" s="65"/>
      <c r="J31" s="75"/>
      <c r="K31" s="74"/>
      <c r="L31" s="75"/>
      <c r="M31" s="74"/>
      <c r="N31" s="75"/>
      <c r="O31" s="74"/>
      <c r="P31" s="75"/>
      <c r="Q31" s="74"/>
      <c r="R31" s="75"/>
      <c r="S31" s="74"/>
      <c r="T31" s="75"/>
      <c r="U31" s="74"/>
      <c r="V31" s="75"/>
      <c r="W31" s="74"/>
      <c r="X31" s="75"/>
    </row>
    <row r="32" spans="1:24" s="72" customFormat="1" ht="15" customHeight="1">
      <c r="A32"/>
      <c r="B32" s="39"/>
      <c r="C32"/>
      <c r="D32"/>
      <c r="E32" s="71"/>
      <c r="F32" s="71"/>
      <c r="I32" s="65"/>
      <c r="J32" s="75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</row>
    <row r="33" spans="1:24" s="72" customFormat="1" ht="15" customHeight="1">
      <c r="A33" s="69"/>
      <c r="B33" s="70"/>
      <c r="C33" s="71"/>
      <c r="D33" s="71"/>
      <c r="E33" s="71"/>
      <c r="F33" s="71"/>
      <c r="I33" s="65"/>
      <c r="J33" s="75"/>
      <c r="K33" s="74"/>
      <c r="L33" s="75"/>
      <c r="M33" s="74"/>
      <c r="N33" s="75"/>
      <c r="O33" s="74"/>
      <c r="P33" s="75"/>
      <c r="Q33" s="74"/>
      <c r="R33" s="75"/>
      <c r="S33" s="74"/>
      <c r="T33" s="75"/>
      <c r="U33" s="74"/>
      <c r="V33" s="75"/>
      <c r="W33" s="74"/>
      <c r="X33" s="75"/>
    </row>
    <row r="34" spans="1:24" s="72" customFormat="1" ht="15" customHeight="1">
      <c r="A34" s="69"/>
      <c r="B34" s="70"/>
      <c r="C34" s="76"/>
      <c r="D34" s="76"/>
      <c r="E34" s="76"/>
      <c r="F34" s="76"/>
      <c r="I34" s="65"/>
      <c r="J34" s="75"/>
      <c r="K34" s="74"/>
      <c r="L34" s="75"/>
      <c r="M34" s="74"/>
      <c r="N34" s="75"/>
      <c r="O34" s="74"/>
      <c r="P34" s="75"/>
      <c r="Q34" s="74"/>
      <c r="R34" s="75"/>
      <c r="S34" s="74"/>
      <c r="T34" s="75"/>
      <c r="U34" s="74"/>
      <c r="V34" s="75"/>
      <c r="W34" s="74"/>
      <c r="X34" s="75"/>
    </row>
    <row r="35" spans="1:24" s="72" customFormat="1" ht="12.75" customHeight="1">
      <c r="A35" s="77"/>
      <c r="B35" s="70"/>
      <c r="F35" s="78"/>
      <c r="I35" s="65"/>
      <c r="J35" s="73"/>
      <c r="K35" s="74"/>
      <c r="L35" s="73"/>
      <c r="M35" s="74"/>
      <c r="N35" s="73"/>
      <c r="O35" s="74"/>
      <c r="P35" s="73"/>
      <c r="Q35" s="74"/>
      <c r="R35" s="73"/>
      <c r="S35" s="74"/>
      <c r="T35" s="73"/>
      <c r="U35" s="74"/>
      <c r="V35" s="73"/>
      <c r="W35" s="74"/>
      <c r="X35" s="73"/>
    </row>
    <row r="36" ht="15.75" customHeight="1">
      <c r="I36" s="65"/>
    </row>
    <row r="37" ht="12.75" customHeight="1">
      <c r="I37" s="65"/>
    </row>
    <row r="38" ht="12.75" customHeight="1">
      <c r="I38" s="65"/>
    </row>
    <row r="39" ht="12.75" customHeight="1">
      <c r="I39" s="65"/>
    </row>
    <row r="40" ht="12.75" customHeight="1">
      <c r="I40" s="65"/>
    </row>
    <row r="41" ht="12.75" customHeight="1">
      <c r="I41" s="65"/>
    </row>
    <row r="42" ht="12.75" customHeight="1">
      <c r="I42" s="6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24.75" customHeight="1"/>
    <row r="67" ht="24.75" customHeight="1"/>
  </sheetData>
  <sheetProtection/>
  <mergeCells count="2">
    <mergeCell ref="A1:D1"/>
    <mergeCell ref="D2:I2"/>
  </mergeCells>
  <printOptions/>
  <pageMargins left="0.75" right="0.75" top="0.69" bottom="0.83" header="0" footer="0.58"/>
  <pageSetup horizontalDpi="600" verticalDpi="600" orientation="landscape" paperSize="9" r:id="rId2"/>
  <headerFooter alignWithMargins="0">
    <oddFooter>&amp;CUdarbejdet af Peter Ollendorff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Jens Frederik Lykke Horsens</cp:lastModifiedBy>
  <cp:lastPrinted>2014-10-31T09:49:09Z</cp:lastPrinted>
  <dcterms:created xsi:type="dcterms:W3CDTF">2004-09-06T10:27:11Z</dcterms:created>
  <dcterms:modified xsi:type="dcterms:W3CDTF">2020-09-15T08:30:58Z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